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D:\6\飞行器制造工程\2023学位授权审核\"/>
    </mc:Choice>
  </mc:AlternateContent>
  <xr:revisionPtr revIDLastSave="0" documentId="13_ncr:1_{CC56752B-DF29-489A-8A71-7AA22CC7FA0D}" xr6:coauthVersionLast="47" xr6:coauthVersionMax="47" xr10:uidLastSave="{00000000-0000-0000-0000-000000000000}"/>
  <bookViews>
    <workbookView xWindow="-110" yWindow="-110" windowWidth="19420" windowHeight="10470" tabRatio="852" activeTab="5" xr2:uid="{00000000-000D-0000-FFFF-FFFF00000000}"/>
  </bookViews>
  <sheets>
    <sheet name="中文描述" sheetId="4" r:id="rId1"/>
    <sheet name="数据定义" sheetId="11" r:id="rId2"/>
    <sheet name="参数" sheetId="10" state="hidden" r:id="rId3"/>
    <sheet name="课程清单" sheetId="9" r:id="rId4"/>
    <sheet name="课程学分学时分布表（附件1）" sheetId="1" r:id="rId5"/>
    <sheet name="课程设置与教学进程表（附件2）" sheetId="2" r:id="rId6"/>
    <sheet name="课程地图(附件3)" sheetId="8" r:id="rId7"/>
    <sheet name="校企共建产教融合型专业能力课程（附件4）" sheetId="3" r:id="rId8"/>
  </sheets>
  <externalReferences>
    <externalReference r:id="rId9"/>
    <externalReference r:id="rId10"/>
  </externalReferences>
  <definedNames>
    <definedName name="_xlnm._FilterDatabase" localSheetId="3" hidden="1">课程清单!$A$1:$Q$130</definedName>
    <definedName name="_xlnm.Print_Area" localSheetId="6">'课程地图(附件3)'!$A$1:$S$42</definedName>
    <definedName name="车辆测试与分析">参数!$I$2:$I$4</definedName>
    <definedName name="飞行器设计">参数!$G$2:$G$3</definedName>
    <definedName name="飞行器制造">参数!$H$2:$H$3</definedName>
    <definedName name="机电控制与管理">参数!$I$2:$I$3</definedName>
    <definedName name="机械产品设计">参数!$G$2:$G$3</definedName>
    <definedName name="机械制造">参数!$H$2:$H$3</definedName>
    <definedName name="汽车零部件设计与制造">参数!$G$2:$G$3</definedName>
    <definedName name="软件系统分析与设计">参数!$G$2:$G$5</definedName>
    <definedName name="软件质量保证与测试">参数!$I$2:$I$4</definedName>
    <definedName name="通识教育课程平台">参数!$B$2:$B$11</definedName>
    <definedName name="新能源汽车动力系统设计">参数!$H$2:$H$4</definedName>
    <definedName name="应用软件系统开发">参数!$H$2:$H$4</definedName>
    <definedName name="制造自动化与管理">参数!$I$2:$I$3</definedName>
    <definedName name="专业大类课程模块">参数!$C$2:$C$4</definedName>
    <definedName name="专业能力课程平台">参数!$D$2:$D$6</definedName>
    <definedName name="专业能力模块1">参数!$G$2:$G$5</definedName>
    <definedName name="专业能力模块2">参数!$H$2:$H$4</definedName>
    <definedName name="专业能力模块3">参数!$I$2:$I$4</definedName>
    <definedName name="自定义专业能力模块1">参数!$G$2:$G$3</definedName>
    <definedName name="自定义专业能力模块2">参数!$H$2:$H$3</definedName>
    <definedName name="自定义专业能力模块3">参数!$I$2:$I$3</definedName>
  </definedNames>
  <calcPr calcId="191029"/>
</workbook>
</file>

<file path=xl/calcChain.xml><?xml version="1.0" encoding="utf-8"?>
<calcChain xmlns="http://schemas.openxmlformats.org/spreadsheetml/2006/main">
  <c r="H44" i="1" l="1"/>
  <c r="I40" i="1"/>
  <c r="I38" i="1"/>
  <c r="I37" i="1"/>
  <c r="G37" i="1"/>
  <c r="D41" i="1"/>
  <c r="D44" i="1"/>
  <c r="H43" i="1"/>
  <c r="G43" i="1"/>
  <c r="I43" i="1" s="1"/>
  <c r="G42" i="1"/>
  <c r="I42" i="1" s="1"/>
  <c r="H41" i="1"/>
  <c r="H40" i="1"/>
  <c r="G40" i="1"/>
  <c r="G39" i="1"/>
  <c r="I39" i="1" s="1"/>
  <c r="G38" i="1"/>
  <c r="G41" i="1" l="1"/>
  <c r="I41" i="1" s="1"/>
  <c r="G44" i="1" l="1"/>
  <c r="I44" i="1" s="1"/>
  <c r="T117" i="2" l="1"/>
  <c r="V86" i="9"/>
  <c r="U86" i="9"/>
  <c r="T86" i="9"/>
  <c r="S86" i="9"/>
  <c r="R86" i="9"/>
  <c r="B18" i="1" l="1"/>
  <c r="H119" i="2" l="1"/>
  <c r="B20" i="1"/>
  <c r="B19" i="1"/>
  <c r="X53" i="2" l="1"/>
  <c r="W53" i="2"/>
  <c r="V52" i="2"/>
  <c r="U52" i="2"/>
  <c r="V51" i="2"/>
  <c r="U51" i="2"/>
  <c r="V50" i="2"/>
  <c r="U50" i="2"/>
  <c r="V48" i="2"/>
  <c r="U48" i="2"/>
  <c r="V46" i="2"/>
  <c r="U46" i="2"/>
  <c r="V45" i="2"/>
  <c r="U45" i="2"/>
  <c r="V44" i="2"/>
  <c r="U44" i="2"/>
  <c r="V42" i="2"/>
  <c r="U42" i="2"/>
  <c r="V40" i="2"/>
  <c r="U40" i="2"/>
  <c r="V39" i="2"/>
  <c r="U39" i="2"/>
  <c r="V37" i="2"/>
  <c r="U37" i="2"/>
  <c r="V36" i="2"/>
  <c r="U36" i="2"/>
  <c r="V34" i="2"/>
  <c r="U34" i="2"/>
  <c r="V32" i="2"/>
  <c r="U32" i="2"/>
  <c r="V31" i="2"/>
  <c r="U31" i="2"/>
  <c r="V30" i="2"/>
  <c r="U30" i="2"/>
  <c r="V29" i="2"/>
  <c r="U29" i="2"/>
  <c r="V28" i="2"/>
  <c r="U28" i="2"/>
  <c r="V27" i="2"/>
  <c r="U27" i="2"/>
  <c r="V25" i="2"/>
  <c r="U25" i="2"/>
  <c r="V24" i="2"/>
  <c r="U24" i="2"/>
  <c r="V23" i="2"/>
  <c r="U23" i="2"/>
  <c r="V22" i="2"/>
  <c r="U22" i="2"/>
  <c r="V21" i="2"/>
  <c r="U21" i="2"/>
  <c r="V19" i="2"/>
  <c r="U19" i="2"/>
  <c r="V18" i="2"/>
  <c r="U18" i="2"/>
  <c r="V17" i="2"/>
  <c r="U17" i="2"/>
  <c r="V16" i="2"/>
  <c r="U16" i="2"/>
  <c r="V15" i="2"/>
  <c r="U15" i="2"/>
  <c r="V14" i="2"/>
  <c r="U14" i="2"/>
  <c r="V13" i="2"/>
  <c r="U13" i="2"/>
  <c r="V12" i="2"/>
  <c r="U12" i="2"/>
  <c r="V11" i="2"/>
  <c r="U11" i="2"/>
  <c r="V10" i="2"/>
  <c r="U10" i="2"/>
  <c r="V9" i="2"/>
  <c r="U9" i="2"/>
  <c r="V8" i="2"/>
  <c r="U8" i="2"/>
  <c r="V7" i="2"/>
  <c r="U7" i="2"/>
  <c r="V6" i="2"/>
  <c r="U6" i="2"/>
  <c r="V5" i="2"/>
  <c r="U5" i="2"/>
  <c r="S5" i="2" s="1"/>
  <c r="A2" i="2"/>
  <c r="F13" i="1"/>
  <c r="D13" i="1"/>
  <c r="A130" i="9"/>
  <c r="A129" i="9"/>
  <c r="A128" i="9"/>
  <c r="A127" i="9"/>
  <c r="A126" i="9"/>
  <c r="A125" i="9"/>
  <c r="A124" i="9"/>
  <c r="A123" i="9"/>
  <c r="A122" i="9"/>
  <c r="A121" i="9"/>
  <c r="A120" i="9"/>
  <c r="A119" i="9"/>
  <c r="A118" i="9"/>
  <c r="A117" i="9"/>
  <c r="A116" i="9"/>
  <c r="A115" i="9"/>
  <c r="A114" i="9"/>
  <c r="A113" i="9"/>
  <c r="A112" i="9"/>
  <c r="A111" i="9"/>
  <c r="A110" i="9"/>
  <c r="A109" i="9"/>
  <c r="A108" i="9"/>
  <c r="A107" i="9"/>
  <c r="A106" i="9"/>
  <c r="A105" i="9"/>
  <c r="A104" i="9"/>
  <c r="A103" i="9"/>
  <c r="A102" i="9"/>
  <c r="A101" i="9"/>
  <c r="A100" i="9"/>
  <c r="A99" i="9"/>
  <c r="A98" i="9"/>
  <c r="A97"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4" i="9"/>
  <c r="A3" i="9"/>
  <c r="A2" i="9"/>
  <c r="D29" i="11"/>
  <c r="C29" i="11"/>
  <c r="B29" i="11"/>
  <c r="A29" i="11"/>
  <c r="D25" i="11"/>
  <c r="K119" i="2" s="1"/>
  <c r="C25" i="11"/>
  <c r="J119" i="2" s="1"/>
  <c r="B25" i="11"/>
  <c r="I119" i="2" s="1"/>
  <c r="L18" i="11"/>
  <c r="K18" i="11"/>
  <c r="J18" i="11"/>
  <c r="I18" i="11"/>
  <c r="H18" i="11"/>
  <c r="G18" i="11"/>
  <c r="F18" i="11"/>
  <c r="E18" i="11"/>
  <c r="D18" i="11"/>
  <c r="C18" i="11"/>
  <c r="C9" i="11"/>
  <c r="S10" i="2" l="1"/>
  <c r="M14" i="2"/>
  <c r="I32" i="2"/>
  <c r="S9" i="2"/>
  <c r="K13" i="2"/>
  <c r="S7" i="2"/>
  <c r="K11" i="2"/>
  <c r="S15" i="2"/>
  <c r="O19" i="2"/>
  <c r="J88" i="2"/>
  <c r="L69" i="2"/>
  <c r="D69" i="2"/>
  <c r="L68" i="2"/>
  <c r="D68" i="2"/>
  <c r="S68" i="2"/>
  <c r="K68" i="2"/>
  <c r="I69" i="2"/>
  <c r="Q68" i="2"/>
  <c r="F69" i="2"/>
  <c r="E68" i="2"/>
  <c r="S69" i="2"/>
  <c r="K69" i="2"/>
  <c r="J68" i="2"/>
  <c r="O68" i="2"/>
  <c r="N68" i="2"/>
  <c r="R69" i="2"/>
  <c r="J69" i="2"/>
  <c r="R68" i="2"/>
  <c r="I68" i="2"/>
  <c r="F68" i="2"/>
  <c r="Q69" i="2"/>
  <c r="M69" i="2"/>
  <c r="P69" i="2"/>
  <c r="H69" i="2"/>
  <c r="P68" i="2"/>
  <c r="H68" i="2"/>
  <c r="G69" i="2"/>
  <c r="G68" i="2"/>
  <c r="M68" i="2"/>
  <c r="O69" i="2"/>
  <c r="N69" i="2"/>
  <c r="E69" i="2"/>
  <c r="S8" i="2"/>
  <c r="E12" i="2"/>
  <c r="R16" i="2"/>
  <c r="B3" i="9"/>
  <c r="S6" i="2"/>
  <c r="H89" i="2"/>
  <c r="L91" i="2"/>
  <c r="D91" i="2"/>
  <c r="L87" i="2"/>
  <c r="D87" i="2"/>
  <c r="L86" i="2"/>
  <c r="D86" i="2"/>
  <c r="L85" i="2"/>
  <c r="D85" i="2"/>
  <c r="L84" i="2"/>
  <c r="D84" i="2"/>
  <c r="L83" i="2"/>
  <c r="D83" i="2"/>
  <c r="L81" i="2"/>
  <c r="D81" i="2"/>
  <c r="L80" i="2"/>
  <c r="D80" i="2"/>
  <c r="L79" i="2"/>
  <c r="D79" i="2"/>
  <c r="L76" i="2"/>
  <c r="D76" i="2"/>
  <c r="L75" i="2"/>
  <c r="D75" i="2"/>
  <c r="L67" i="2"/>
  <c r="D67" i="2"/>
  <c r="L66" i="2"/>
  <c r="D66" i="2"/>
  <c r="L65" i="2"/>
  <c r="D65" i="2"/>
  <c r="L64" i="2"/>
  <c r="D64" i="2"/>
  <c r="K65" i="2"/>
  <c r="S64" i="2"/>
  <c r="K64" i="2"/>
  <c r="E80" i="2"/>
  <c r="E75" i="2"/>
  <c r="M67" i="2"/>
  <c r="E66" i="2"/>
  <c r="E64" i="2"/>
  <c r="S91" i="2"/>
  <c r="K91" i="2"/>
  <c r="S87" i="2"/>
  <c r="K87" i="2"/>
  <c r="S86" i="2"/>
  <c r="K86" i="2"/>
  <c r="S85" i="2"/>
  <c r="K85" i="2"/>
  <c r="S84" i="2"/>
  <c r="K84" i="2"/>
  <c r="S83" i="2"/>
  <c r="K83" i="2"/>
  <c r="S81" i="2"/>
  <c r="K81" i="2"/>
  <c r="S80" i="2"/>
  <c r="K80" i="2"/>
  <c r="S79" i="2"/>
  <c r="K79" i="2"/>
  <c r="S76" i="2"/>
  <c r="K76" i="2"/>
  <c r="S75" i="2"/>
  <c r="K75" i="2"/>
  <c r="S67" i="2"/>
  <c r="K67" i="2"/>
  <c r="S66" i="2"/>
  <c r="K66" i="2"/>
  <c r="S65" i="2"/>
  <c r="R91" i="2"/>
  <c r="J91" i="2"/>
  <c r="R87" i="2"/>
  <c r="J87" i="2"/>
  <c r="R86" i="2"/>
  <c r="R85" i="2"/>
  <c r="J85" i="2"/>
  <c r="R84" i="2"/>
  <c r="J84" i="2"/>
  <c r="R83" i="2"/>
  <c r="J83" i="2"/>
  <c r="R81" i="2"/>
  <c r="J81" i="2"/>
  <c r="R80" i="2"/>
  <c r="J80" i="2"/>
  <c r="R79" i="2"/>
  <c r="J79" i="2"/>
  <c r="R76" i="2"/>
  <c r="J76" i="2"/>
  <c r="R75" i="2"/>
  <c r="J75" i="2"/>
  <c r="R67" i="2"/>
  <c r="J67" i="2"/>
  <c r="R66" i="2"/>
  <c r="J66" i="2"/>
  <c r="R65" i="2"/>
  <c r="J65" i="2"/>
  <c r="R64" i="2"/>
  <c r="J64" i="2"/>
  <c r="M87" i="2"/>
  <c r="M85" i="2"/>
  <c r="M84" i="2"/>
  <c r="E81" i="2"/>
  <c r="M75" i="2"/>
  <c r="Q91" i="2"/>
  <c r="I91" i="2"/>
  <c r="Q87" i="2"/>
  <c r="Q85" i="2"/>
  <c r="I85" i="2"/>
  <c r="Q84" i="2"/>
  <c r="I84" i="2"/>
  <c r="Q83" i="2"/>
  <c r="I83" i="2"/>
  <c r="Q81" i="2"/>
  <c r="I81" i="2"/>
  <c r="Q80" i="2"/>
  <c r="I80" i="2"/>
  <c r="Q79" i="2"/>
  <c r="I79" i="2"/>
  <c r="Q76" i="2"/>
  <c r="I76" i="2"/>
  <c r="Q75" i="2"/>
  <c r="I75" i="2"/>
  <c r="Q67" i="2"/>
  <c r="I67" i="2"/>
  <c r="Q66" i="2"/>
  <c r="I66" i="2"/>
  <c r="Q65" i="2"/>
  <c r="I65" i="2"/>
  <c r="Q64" i="2"/>
  <c r="I64" i="2"/>
  <c r="E91" i="2"/>
  <c r="E85" i="2"/>
  <c r="M83" i="2"/>
  <c r="M76" i="2"/>
  <c r="M66" i="2"/>
  <c r="M64" i="2"/>
  <c r="P91" i="2"/>
  <c r="H91" i="2"/>
  <c r="P87" i="2"/>
  <c r="P86" i="2"/>
  <c r="P85" i="2"/>
  <c r="H85" i="2"/>
  <c r="P84" i="2"/>
  <c r="H84" i="2"/>
  <c r="P83" i="2"/>
  <c r="H83" i="2"/>
  <c r="P81" i="2"/>
  <c r="H81" i="2"/>
  <c r="P80" i="2"/>
  <c r="H80" i="2"/>
  <c r="P79" i="2"/>
  <c r="H79" i="2"/>
  <c r="P76" i="2"/>
  <c r="H76" i="2"/>
  <c r="P75" i="2"/>
  <c r="H75" i="2"/>
  <c r="P67" i="2"/>
  <c r="H67" i="2"/>
  <c r="P66" i="2"/>
  <c r="H66" i="2"/>
  <c r="P65" i="2"/>
  <c r="H65" i="2"/>
  <c r="P64" i="2"/>
  <c r="H64" i="2"/>
  <c r="E87" i="2"/>
  <c r="M81" i="2"/>
  <c r="M79" i="2"/>
  <c r="M65" i="2"/>
  <c r="O91" i="2"/>
  <c r="G91" i="2"/>
  <c r="O87" i="2"/>
  <c r="G87" i="2"/>
  <c r="O86" i="2"/>
  <c r="G86" i="2"/>
  <c r="O85" i="2"/>
  <c r="G85" i="2"/>
  <c r="O84" i="2"/>
  <c r="G84" i="2"/>
  <c r="O83" i="2"/>
  <c r="G83" i="2"/>
  <c r="O81" i="2"/>
  <c r="G81" i="2"/>
  <c r="O80" i="2"/>
  <c r="G80" i="2"/>
  <c r="O79" i="2"/>
  <c r="G79" i="2"/>
  <c r="O76" i="2"/>
  <c r="G76" i="2"/>
  <c r="O75" i="2"/>
  <c r="G75" i="2"/>
  <c r="O67" i="2"/>
  <c r="G67" i="2"/>
  <c r="O66" i="2"/>
  <c r="G66" i="2"/>
  <c r="O65" i="2"/>
  <c r="G65" i="2"/>
  <c r="O64" i="2"/>
  <c r="G64" i="2"/>
  <c r="M86" i="2"/>
  <c r="E83" i="2"/>
  <c r="E79" i="2"/>
  <c r="N91" i="2"/>
  <c r="F91" i="2"/>
  <c r="N87" i="2"/>
  <c r="F87" i="2"/>
  <c r="N86" i="2"/>
  <c r="F86" i="2"/>
  <c r="N85" i="2"/>
  <c r="F85" i="2"/>
  <c r="N84" i="2"/>
  <c r="F84" i="2"/>
  <c r="N83" i="2"/>
  <c r="F83" i="2"/>
  <c r="N81" i="2"/>
  <c r="F81" i="2"/>
  <c r="N80" i="2"/>
  <c r="F80" i="2"/>
  <c r="N79" i="2"/>
  <c r="F79" i="2"/>
  <c r="N76" i="2"/>
  <c r="F76" i="2"/>
  <c r="N75" i="2"/>
  <c r="F75" i="2"/>
  <c r="N67" i="2"/>
  <c r="F67" i="2"/>
  <c r="N66" i="2"/>
  <c r="F66" i="2"/>
  <c r="N65" i="2"/>
  <c r="F65" i="2"/>
  <c r="N64" i="2"/>
  <c r="F64" i="2"/>
  <c r="M91" i="2"/>
  <c r="E86" i="2"/>
  <c r="E84" i="2"/>
  <c r="M80" i="2"/>
  <c r="E76" i="2"/>
  <c r="E67" i="2"/>
  <c r="E65" i="2"/>
  <c r="L115" i="2"/>
  <c r="D115" i="2"/>
  <c r="L114" i="2"/>
  <c r="D114" i="2"/>
  <c r="L113" i="2"/>
  <c r="D113" i="2"/>
  <c r="L112" i="2"/>
  <c r="D112" i="2"/>
  <c r="L111" i="2"/>
  <c r="D111" i="2"/>
  <c r="L110" i="2"/>
  <c r="D110" i="2"/>
  <c r="L109" i="2"/>
  <c r="D109" i="2"/>
  <c r="L108" i="2"/>
  <c r="D108" i="2"/>
  <c r="L107" i="2"/>
  <c r="D107" i="2"/>
  <c r="L106" i="2"/>
  <c r="D106" i="2"/>
  <c r="L105" i="2"/>
  <c r="D105" i="2"/>
  <c r="L104" i="2"/>
  <c r="D104" i="2"/>
  <c r="L103" i="2"/>
  <c r="D103" i="2"/>
  <c r="L102" i="2"/>
  <c r="D102" i="2"/>
  <c r="L100" i="2"/>
  <c r="D100" i="2"/>
  <c r="L99" i="2"/>
  <c r="D99" i="2"/>
  <c r="L98" i="2"/>
  <c r="D98" i="2"/>
  <c r="L96" i="2"/>
  <c r="D96" i="2"/>
  <c r="L95" i="2"/>
  <c r="D95" i="2"/>
  <c r="L94" i="2"/>
  <c r="D94" i="2"/>
  <c r="L89" i="2"/>
  <c r="D89" i="2"/>
  <c r="L88" i="2"/>
  <c r="D88" i="2"/>
  <c r="L77" i="2"/>
  <c r="D77" i="2"/>
  <c r="L73" i="2"/>
  <c r="D73" i="2"/>
  <c r="L72" i="2"/>
  <c r="D72" i="2"/>
  <c r="L71" i="2"/>
  <c r="D71" i="2"/>
  <c r="L70" i="2"/>
  <c r="D70" i="2"/>
  <c r="L63" i="2"/>
  <c r="L62" i="2"/>
  <c r="D62" i="2"/>
  <c r="L61" i="2"/>
  <c r="D61" i="2"/>
  <c r="L60" i="2"/>
  <c r="D60" i="2"/>
  <c r="L59" i="2"/>
  <c r="D59" i="2"/>
  <c r="L58" i="2"/>
  <c r="D58" i="2"/>
  <c r="L57" i="2"/>
  <c r="D57" i="2"/>
  <c r="L56" i="2"/>
  <c r="D56" i="2"/>
  <c r="L55" i="2"/>
  <c r="D55" i="2"/>
  <c r="S55" i="2"/>
  <c r="R56" i="2"/>
  <c r="J55" i="2"/>
  <c r="E113" i="2"/>
  <c r="M109" i="2"/>
  <c r="E106" i="2"/>
  <c r="S115" i="2"/>
  <c r="K115" i="2"/>
  <c r="S114" i="2"/>
  <c r="K114" i="2"/>
  <c r="S113" i="2"/>
  <c r="K113" i="2"/>
  <c r="S112" i="2"/>
  <c r="K112" i="2"/>
  <c r="S111" i="2"/>
  <c r="K111" i="2"/>
  <c r="S110" i="2"/>
  <c r="K110" i="2"/>
  <c r="S109" i="2"/>
  <c r="K109" i="2"/>
  <c r="S108" i="2"/>
  <c r="K108" i="2"/>
  <c r="S107" i="2"/>
  <c r="K107" i="2"/>
  <c r="S106" i="2"/>
  <c r="K106" i="2"/>
  <c r="S105" i="2"/>
  <c r="K105" i="2"/>
  <c r="S104" i="2"/>
  <c r="K104" i="2"/>
  <c r="S103" i="2"/>
  <c r="K103" i="2"/>
  <c r="S102" i="2"/>
  <c r="K102" i="2"/>
  <c r="S100" i="2"/>
  <c r="K100" i="2"/>
  <c r="S99" i="2"/>
  <c r="K99" i="2"/>
  <c r="S98" i="2"/>
  <c r="K98" i="2"/>
  <c r="S96" i="2"/>
  <c r="K96" i="2"/>
  <c r="S95" i="2"/>
  <c r="K95" i="2"/>
  <c r="S94" i="2"/>
  <c r="K94" i="2"/>
  <c r="S89" i="2"/>
  <c r="K89" i="2"/>
  <c r="S88" i="2"/>
  <c r="K88" i="2"/>
  <c r="S77" i="2"/>
  <c r="K77" i="2"/>
  <c r="S73" i="2"/>
  <c r="K73" i="2"/>
  <c r="S72" i="2"/>
  <c r="K72" i="2"/>
  <c r="S71" i="2"/>
  <c r="K71" i="2"/>
  <c r="S70" i="2"/>
  <c r="K70" i="2"/>
  <c r="S63" i="2"/>
  <c r="K63" i="2"/>
  <c r="S62" i="2"/>
  <c r="K62" i="2"/>
  <c r="S61" i="2"/>
  <c r="K61" i="2"/>
  <c r="S60" i="2"/>
  <c r="K60" i="2"/>
  <c r="S59" i="2"/>
  <c r="K59" i="2"/>
  <c r="S58" i="2"/>
  <c r="K58" i="2"/>
  <c r="S57" i="2"/>
  <c r="K57" i="2"/>
  <c r="S56" i="2"/>
  <c r="K56" i="2"/>
  <c r="K55" i="2"/>
  <c r="J56" i="2"/>
  <c r="E114" i="2"/>
  <c r="E110" i="2"/>
  <c r="M106" i="2"/>
  <c r="R115" i="2"/>
  <c r="J115" i="2"/>
  <c r="R114" i="2"/>
  <c r="J114" i="2"/>
  <c r="R113" i="2"/>
  <c r="J113" i="2"/>
  <c r="R112" i="2"/>
  <c r="J112" i="2"/>
  <c r="R111" i="2"/>
  <c r="J111" i="2"/>
  <c r="R110" i="2"/>
  <c r="J110" i="2"/>
  <c r="R109" i="2"/>
  <c r="J109" i="2"/>
  <c r="R108" i="2"/>
  <c r="J108" i="2"/>
  <c r="R107" i="2"/>
  <c r="J107" i="2"/>
  <c r="R106" i="2"/>
  <c r="J106" i="2"/>
  <c r="R105" i="2"/>
  <c r="J105" i="2"/>
  <c r="R104" i="2"/>
  <c r="J104" i="2"/>
  <c r="R103" i="2"/>
  <c r="J103" i="2"/>
  <c r="R102" i="2"/>
  <c r="J102" i="2"/>
  <c r="R100" i="2"/>
  <c r="J100" i="2"/>
  <c r="R99" i="2"/>
  <c r="J99" i="2"/>
  <c r="R98" i="2"/>
  <c r="J98" i="2"/>
  <c r="J96" i="2"/>
  <c r="R95" i="2"/>
  <c r="J95" i="2"/>
  <c r="R94" i="2"/>
  <c r="J94" i="2"/>
  <c r="R89" i="2"/>
  <c r="J89" i="2"/>
  <c r="R88" i="2"/>
  <c r="R77" i="2"/>
  <c r="J77" i="2"/>
  <c r="R73" i="2"/>
  <c r="J73" i="2"/>
  <c r="R72" i="2"/>
  <c r="J72" i="2"/>
  <c r="R71" i="2"/>
  <c r="J71" i="2"/>
  <c r="R70" i="2"/>
  <c r="J70" i="2"/>
  <c r="R63" i="2"/>
  <c r="J63" i="2"/>
  <c r="R62" i="2"/>
  <c r="J62" i="2"/>
  <c r="R61" i="2"/>
  <c r="J61" i="2"/>
  <c r="R60" i="2"/>
  <c r="J60" i="2"/>
  <c r="R59" i="2"/>
  <c r="J59" i="2"/>
  <c r="R58" i="2"/>
  <c r="J58" i="2"/>
  <c r="R57" i="2"/>
  <c r="J57" i="2"/>
  <c r="R55" i="2"/>
  <c r="M112" i="2"/>
  <c r="E109" i="2"/>
  <c r="M105" i="2"/>
  <c r="Q115" i="2"/>
  <c r="I115" i="2"/>
  <c r="Q114" i="2"/>
  <c r="I114" i="2"/>
  <c r="Q113" i="2"/>
  <c r="I113" i="2"/>
  <c r="Q112" i="2"/>
  <c r="I112" i="2"/>
  <c r="Q111" i="2"/>
  <c r="I111" i="2"/>
  <c r="Q110" i="2"/>
  <c r="I110" i="2"/>
  <c r="Q109" i="2"/>
  <c r="I109" i="2"/>
  <c r="Q108" i="2"/>
  <c r="I108" i="2"/>
  <c r="Q107" i="2"/>
  <c r="I107" i="2"/>
  <c r="Q106" i="2"/>
  <c r="I106" i="2"/>
  <c r="Q105" i="2"/>
  <c r="I105" i="2"/>
  <c r="Q104" i="2"/>
  <c r="I104" i="2"/>
  <c r="Q103" i="2"/>
  <c r="I103" i="2"/>
  <c r="Q102" i="2"/>
  <c r="I102" i="2"/>
  <c r="Q100" i="2"/>
  <c r="I100" i="2"/>
  <c r="Q99" i="2"/>
  <c r="I99" i="2"/>
  <c r="Q98" i="2"/>
  <c r="I98" i="2"/>
  <c r="Q96" i="2"/>
  <c r="I96" i="2"/>
  <c r="Q95" i="2"/>
  <c r="I95" i="2"/>
  <c r="Q94" i="2"/>
  <c r="I94" i="2"/>
  <c r="Q89" i="2"/>
  <c r="I89" i="2"/>
  <c r="Q88" i="2"/>
  <c r="I88" i="2"/>
  <c r="Q77" i="2"/>
  <c r="I77" i="2"/>
  <c r="Q73" i="2"/>
  <c r="I73" i="2"/>
  <c r="Q72" i="2"/>
  <c r="I72" i="2"/>
  <c r="Q71" i="2"/>
  <c r="I71" i="2"/>
  <c r="Q70" i="2"/>
  <c r="I70" i="2"/>
  <c r="Q63" i="2"/>
  <c r="I63" i="2"/>
  <c r="Q62" i="2"/>
  <c r="I62" i="2"/>
  <c r="Q61" i="2"/>
  <c r="I61" i="2"/>
  <c r="Q60" i="2"/>
  <c r="I60" i="2"/>
  <c r="Q59" i="2"/>
  <c r="I59" i="2"/>
  <c r="Q58" i="2"/>
  <c r="I58" i="2"/>
  <c r="Q57" i="2"/>
  <c r="I57" i="2"/>
  <c r="Q56" i="2"/>
  <c r="I56" i="2"/>
  <c r="Q55" i="2"/>
  <c r="I55" i="2"/>
  <c r="G59" i="2"/>
  <c r="O57" i="2"/>
  <c r="G56" i="2"/>
  <c r="M115" i="2"/>
  <c r="E112" i="2"/>
  <c r="M108" i="2"/>
  <c r="E105" i="2"/>
  <c r="P115" i="2"/>
  <c r="H115" i="2"/>
  <c r="P114" i="2"/>
  <c r="H114" i="2"/>
  <c r="P113" i="2"/>
  <c r="H113" i="2"/>
  <c r="P112" i="2"/>
  <c r="H112" i="2"/>
  <c r="P111" i="2"/>
  <c r="H111" i="2"/>
  <c r="P110" i="2"/>
  <c r="H110" i="2"/>
  <c r="P109" i="2"/>
  <c r="H109" i="2"/>
  <c r="P108" i="2"/>
  <c r="H108" i="2"/>
  <c r="P107" i="2"/>
  <c r="H107" i="2"/>
  <c r="P106" i="2"/>
  <c r="H106" i="2"/>
  <c r="P105" i="2"/>
  <c r="H105" i="2"/>
  <c r="P104" i="2"/>
  <c r="H104" i="2"/>
  <c r="P103" i="2"/>
  <c r="H103" i="2"/>
  <c r="P102" i="2"/>
  <c r="H102" i="2"/>
  <c r="P100" i="2"/>
  <c r="H100" i="2"/>
  <c r="P99" i="2"/>
  <c r="H99" i="2"/>
  <c r="P98" i="2"/>
  <c r="H98" i="2"/>
  <c r="H96" i="2"/>
  <c r="P95" i="2"/>
  <c r="H95" i="2"/>
  <c r="P94" i="2"/>
  <c r="H94" i="2"/>
  <c r="P89" i="2"/>
  <c r="P88" i="2"/>
  <c r="H88" i="2"/>
  <c r="P77" i="2"/>
  <c r="H77" i="2"/>
  <c r="P73" i="2"/>
  <c r="H73" i="2"/>
  <c r="P72" i="2"/>
  <c r="H72" i="2"/>
  <c r="P71" i="2"/>
  <c r="H71" i="2"/>
  <c r="P70" i="2"/>
  <c r="H70" i="2"/>
  <c r="P63" i="2"/>
  <c r="H63" i="2"/>
  <c r="P62" i="2"/>
  <c r="H62" i="2"/>
  <c r="P61" i="2"/>
  <c r="H61" i="2"/>
  <c r="P60" i="2"/>
  <c r="H60" i="2"/>
  <c r="P59" i="2"/>
  <c r="H59" i="2"/>
  <c r="P58" i="2"/>
  <c r="H58" i="2"/>
  <c r="P57" i="2"/>
  <c r="H57" i="2"/>
  <c r="P56" i="2"/>
  <c r="H56" i="2"/>
  <c r="P55" i="2"/>
  <c r="H55" i="2"/>
  <c r="G60" i="2"/>
  <c r="O58" i="2"/>
  <c r="G57" i="2"/>
  <c r="G55" i="2"/>
  <c r="E115" i="2"/>
  <c r="E111" i="2"/>
  <c r="M107" i="2"/>
  <c r="O115" i="2"/>
  <c r="G115" i="2"/>
  <c r="O114" i="2"/>
  <c r="G114" i="2"/>
  <c r="O113" i="2"/>
  <c r="G113" i="2"/>
  <c r="O112" i="2"/>
  <c r="G112" i="2"/>
  <c r="O111" i="2"/>
  <c r="G111" i="2"/>
  <c r="O110" i="2"/>
  <c r="G110" i="2"/>
  <c r="O109" i="2"/>
  <c r="G109" i="2"/>
  <c r="O108" i="2"/>
  <c r="G108" i="2"/>
  <c r="O107" i="2"/>
  <c r="G107" i="2"/>
  <c r="O106" i="2"/>
  <c r="G106" i="2"/>
  <c r="O105" i="2"/>
  <c r="G105" i="2"/>
  <c r="O104" i="2"/>
  <c r="G104" i="2"/>
  <c r="O103" i="2"/>
  <c r="G103" i="2"/>
  <c r="O102" i="2"/>
  <c r="G102" i="2"/>
  <c r="O100" i="2"/>
  <c r="G100" i="2"/>
  <c r="O99" i="2"/>
  <c r="G99" i="2"/>
  <c r="O98" i="2"/>
  <c r="G98" i="2"/>
  <c r="O96" i="2"/>
  <c r="G96" i="2"/>
  <c r="O95" i="2"/>
  <c r="G95" i="2"/>
  <c r="O94" i="2"/>
  <c r="G94" i="2"/>
  <c r="O89" i="2"/>
  <c r="G89" i="2"/>
  <c r="O88" i="2"/>
  <c r="G88" i="2"/>
  <c r="O77" i="2"/>
  <c r="G77" i="2"/>
  <c r="O73" i="2"/>
  <c r="G73" i="2"/>
  <c r="O72" i="2"/>
  <c r="G72" i="2"/>
  <c r="O71" i="2"/>
  <c r="G71" i="2"/>
  <c r="O70" i="2"/>
  <c r="G70" i="2"/>
  <c r="O63" i="2"/>
  <c r="G63" i="2"/>
  <c r="O62" i="2"/>
  <c r="G62" i="2"/>
  <c r="O61" i="2"/>
  <c r="G61" i="2"/>
  <c r="O60" i="2"/>
  <c r="O59" i="2"/>
  <c r="G58" i="2"/>
  <c r="O56" i="2"/>
  <c r="O55" i="2"/>
  <c r="M114" i="2"/>
  <c r="M111" i="2"/>
  <c r="E108" i="2"/>
  <c r="M104" i="2"/>
  <c r="N115" i="2"/>
  <c r="F115" i="2"/>
  <c r="N114" i="2"/>
  <c r="F114" i="2"/>
  <c r="N113" i="2"/>
  <c r="F113" i="2"/>
  <c r="N112" i="2"/>
  <c r="F112" i="2"/>
  <c r="N111" i="2"/>
  <c r="F111" i="2"/>
  <c r="N110" i="2"/>
  <c r="F110" i="2"/>
  <c r="N109" i="2"/>
  <c r="F109" i="2"/>
  <c r="N108" i="2"/>
  <c r="F108" i="2"/>
  <c r="N107" i="2"/>
  <c r="F107" i="2"/>
  <c r="N106" i="2"/>
  <c r="F106" i="2"/>
  <c r="N105" i="2"/>
  <c r="F105" i="2"/>
  <c r="N104" i="2"/>
  <c r="F104" i="2"/>
  <c r="N103" i="2"/>
  <c r="F103" i="2"/>
  <c r="N102" i="2"/>
  <c r="F102" i="2"/>
  <c r="N100" i="2"/>
  <c r="F100" i="2"/>
  <c r="N99" i="2"/>
  <c r="F99" i="2"/>
  <c r="N98" i="2"/>
  <c r="F98" i="2"/>
  <c r="N96" i="2"/>
  <c r="F96" i="2"/>
  <c r="N95" i="2"/>
  <c r="F95" i="2"/>
  <c r="N94" i="2"/>
  <c r="F94" i="2"/>
  <c r="N89" i="2"/>
  <c r="F89" i="2"/>
  <c r="N88" i="2"/>
  <c r="F88" i="2"/>
  <c r="N77" i="2"/>
  <c r="F77" i="2"/>
  <c r="N73" i="2"/>
  <c r="F73" i="2"/>
  <c r="N72" i="2"/>
  <c r="F72" i="2"/>
  <c r="N71" i="2"/>
  <c r="F71" i="2"/>
  <c r="N70" i="2"/>
  <c r="F70" i="2"/>
  <c r="N63" i="2"/>
  <c r="F63" i="2"/>
  <c r="N62" i="2"/>
  <c r="F62" i="2"/>
  <c r="N61" i="2"/>
  <c r="F61" i="2"/>
  <c r="N60" i="2"/>
  <c r="F60" i="2"/>
  <c r="N59" i="2"/>
  <c r="F59" i="2"/>
  <c r="N58" i="2"/>
  <c r="F58" i="2"/>
  <c r="N57" i="2"/>
  <c r="F57" i="2"/>
  <c r="N56" i="2"/>
  <c r="F56" i="2"/>
  <c r="N55" i="2"/>
  <c r="F55" i="2"/>
  <c r="M113" i="2"/>
  <c r="M110" i="2"/>
  <c r="E107" i="2"/>
  <c r="M99" i="2"/>
  <c r="M95" i="2"/>
  <c r="M88" i="2"/>
  <c r="E104" i="2"/>
  <c r="E99" i="2"/>
  <c r="E95" i="2"/>
  <c r="E88" i="2"/>
  <c r="E71" i="2"/>
  <c r="E61" i="2"/>
  <c r="E57" i="2"/>
  <c r="M103" i="2"/>
  <c r="M98" i="2"/>
  <c r="M94" i="2"/>
  <c r="M77" i="2"/>
  <c r="M70" i="2"/>
  <c r="E103" i="2"/>
  <c r="E98" i="2"/>
  <c r="E94" i="2"/>
  <c r="E77" i="2"/>
  <c r="E70" i="2"/>
  <c r="E60" i="2"/>
  <c r="E56" i="2"/>
  <c r="M73" i="2"/>
  <c r="M63" i="2"/>
  <c r="M59" i="2"/>
  <c r="M55" i="2"/>
  <c r="E59" i="2"/>
  <c r="E58" i="2"/>
  <c r="M61" i="2"/>
  <c r="M102" i="2"/>
  <c r="M56" i="2"/>
  <c r="E102" i="2"/>
  <c r="E73" i="2"/>
  <c r="E63" i="2"/>
  <c r="E55" i="2"/>
  <c r="C55" i="2" s="1"/>
  <c r="M57" i="2"/>
  <c r="M100" i="2"/>
  <c r="M96" i="2"/>
  <c r="M89" i="2"/>
  <c r="M72" i="2"/>
  <c r="M62" i="2"/>
  <c r="M58" i="2"/>
  <c r="E100" i="2"/>
  <c r="E96" i="2"/>
  <c r="E89" i="2"/>
  <c r="E72" i="2"/>
  <c r="E62" i="2"/>
  <c r="M71" i="2"/>
  <c r="M60" i="2"/>
  <c r="B2" i="9"/>
  <c r="B38" i="9"/>
  <c r="B126" i="9"/>
  <c r="B19" i="9"/>
  <c r="B6" i="9"/>
  <c r="B107" i="9"/>
  <c r="B33" i="9"/>
  <c r="B121" i="9"/>
  <c r="B14" i="9"/>
  <c r="B27" i="9"/>
  <c r="B102" i="9"/>
  <c r="B115" i="9"/>
  <c r="B22" i="9"/>
  <c r="B35" i="9"/>
  <c r="B110" i="9"/>
  <c r="B123" i="9"/>
  <c r="B129" i="9"/>
  <c r="B17" i="9"/>
  <c r="B105" i="9"/>
  <c r="B9" i="9"/>
  <c r="B99" i="9"/>
  <c r="B11" i="9"/>
  <c r="B30" i="9"/>
  <c r="B118" i="9"/>
  <c r="B25" i="9"/>
  <c r="B113" i="9"/>
  <c r="X119" i="2"/>
  <c r="W119" i="2"/>
  <c r="Z119" i="2"/>
  <c r="Y119" i="2"/>
  <c r="B7" i="9"/>
  <c r="B13" i="9"/>
  <c r="B18" i="9"/>
  <c r="B23" i="9"/>
  <c r="B29" i="9"/>
  <c r="B34" i="9"/>
  <c r="B39" i="9"/>
  <c r="B101" i="9"/>
  <c r="B106" i="9"/>
  <c r="B111" i="9"/>
  <c r="B117" i="9"/>
  <c r="B122" i="9"/>
  <c r="B128" i="9"/>
  <c r="B8" i="9"/>
  <c r="B24" i="9"/>
  <c r="B40" i="9"/>
  <c r="B112" i="9"/>
  <c r="K7" i="2"/>
  <c r="B4" i="9"/>
  <c r="B20" i="9"/>
  <c r="B36" i="9"/>
  <c r="B108" i="9"/>
  <c r="B124" i="9"/>
  <c r="K5" i="2"/>
  <c r="B5" i="9"/>
  <c r="B15" i="9"/>
  <c r="B26" i="9"/>
  <c r="B37" i="9"/>
  <c r="B103" i="9"/>
  <c r="B114" i="9"/>
  <c r="B125" i="9"/>
  <c r="B130" i="9"/>
  <c r="B10" i="9"/>
  <c r="B21" i="9"/>
  <c r="B31" i="9"/>
  <c r="B98" i="9"/>
  <c r="B109" i="9"/>
  <c r="B119" i="9"/>
  <c r="B16" i="9"/>
  <c r="B32" i="9"/>
  <c r="B104" i="9"/>
  <c r="B120" i="9"/>
  <c r="B12" i="9"/>
  <c r="B28" i="9"/>
  <c r="B100" i="9"/>
  <c r="B116" i="9"/>
  <c r="B127" i="9"/>
  <c r="K9" i="2"/>
  <c r="L5" i="2"/>
  <c r="D6" i="2"/>
  <c r="R6" i="2"/>
  <c r="J6" i="2"/>
  <c r="Q6" i="2"/>
  <c r="I6" i="2"/>
  <c r="P6" i="2"/>
  <c r="H6" i="2"/>
  <c r="N6" i="2"/>
  <c r="F6" i="2"/>
  <c r="L7" i="2"/>
  <c r="D8" i="2"/>
  <c r="R8" i="2"/>
  <c r="J8" i="2"/>
  <c r="Q8" i="2"/>
  <c r="I8" i="2"/>
  <c r="P8" i="2"/>
  <c r="H8" i="2"/>
  <c r="N8" i="2"/>
  <c r="F8" i="2"/>
  <c r="L9" i="2"/>
  <c r="D10" i="2"/>
  <c r="R10" i="2"/>
  <c r="J10" i="2"/>
  <c r="Q10" i="2"/>
  <c r="I10" i="2"/>
  <c r="P10" i="2"/>
  <c r="H10" i="2"/>
  <c r="N10" i="2"/>
  <c r="F10" i="2"/>
  <c r="M11" i="2"/>
  <c r="K12" i="2"/>
  <c r="M13" i="2"/>
  <c r="S14" i="2"/>
  <c r="R15" i="2"/>
  <c r="R19" i="2"/>
  <c r="R37" i="2"/>
  <c r="D42" i="2"/>
  <c r="R52" i="2"/>
  <c r="M5" i="2"/>
  <c r="E6" i="2"/>
  <c r="M7" i="2"/>
  <c r="E8" i="2"/>
  <c r="M9" i="2"/>
  <c r="E10" i="2"/>
  <c r="O11" i="2"/>
  <c r="M12" i="2"/>
  <c r="S13" i="2"/>
  <c r="R14" i="2"/>
  <c r="E18" i="2"/>
  <c r="J22" i="2"/>
  <c r="R42" i="2"/>
  <c r="O5" i="2"/>
  <c r="G6" i="2"/>
  <c r="O7" i="2"/>
  <c r="G8" i="2"/>
  <c r="O9" i="2"/>
  <c r="G10" i="2"/>
  <c r="S11" i="2"/>
  <c r="S12" i="2"/>
  <c r="R13" i="2"/>
  <c r="E17" i="2"/>
  <c r="L18" i="2"/>
  <c r="S22" i="2"/>
  <c r="J24" i="2"/>
  <c r="O30" i="2"/>
  <c r="P39" i="2"/>
  <c r="K6" i="2"/>
  <c r="K8" i="2"/>
  <c r="K10" i="2"/>
  <c r="R11" i="2"/>
  <c r="R12" i="2"/>
  <c r="E16" i="2"/>
  <c r="K17" i="2"/>
  <c r="N18" i="2"/>
  <c r="P28" i="2"/>
  <c r="D5" i="2"/>
  <c r="R5" i="2"/>
  <c r="J5" i="2"/>
  <c r="Q5" i="2"/>
  <c r="I5" i="2"/>
  <c r="P5" i="2"/>
  <c r="H5" i="2"/>
  <c r="N5" i="2"/>
  <c r="F5" i="2"/>
  <c r="L6" i="2"/>
  <c r="D7" i="2"/>
  <c r="R7" i="2"/>
  <c r="J7" i="2"/>
  <c r="Q7" i="2"/>
  <c r="I7" i="2"/>
  <c r="P7" i="2"/>
  <c r="H7" i="2"/>
  <c r="N7" i="2"/>
  <c r="F7" i="2"/>
  <c r="L8" i="2"/>
  <c r="D9" i="2"/>
  <c r="R9" i="2"/>
  <c r="J9" i="2"/>
  <c r="Q9" i="2"/>
  <c r="I9" i="2"/>
  <c r="P9" i="2"/>
  <c r="H9" i="2"/>
  <c r="N9" i="2"/>
  <c r="F9" i="2"/>
  <c r="L10" i="2"/>
  <c r="D11" i="2"/>
  <c r="E15" i="2"/>
  <c r="K16" i="2"/>
  <c r="M17" i="2"/>
  <c r="R18" i="2"/>
  <c r="F21" i="2"/>
  <c r="Q31" i="2"/>
  <c r="E5" i="2"/>
  <c r="M6" i="2"/>
  <c r="E7" i="2"/>
  <c r="M8" i="2"/>
  <c r="E9" i="2"/>
  <c r="M10" i="2"/>
  <c r="E11" i="2"/>
  <c r="E14" i="2"/>
  <c r="K15" i="2"/>
  <c r="M16" i="2"/>
  <c r="S17" i="2"/>
  <c r="P21" i="2"/>
  <c r="D23" i="2"/>
  <c r="I25" i="2"/>
  <c r="P40" i="2"/>
  <c r="O52" i="2"/>
  <c r="G52" i="2"/>
  <c r="P51" i="2"/>
  <c r="H51" i="2"/>
  <c r="P50" i="2"/>
  <c r="H50" i="2"/>
  <c r="N52" i="2"/>
  <c r="F52" i="2"/>
  <c r="N51" i="2"/>
  <c r="E51" i="2"/>
  <c r="L52" i="2"/>
  <c r="M51" i="2"/>
  <c r="M50" i="2"/>
  <c r="L51" i="2"/>
  <c r="L50" i="2"/>
  <c r="R51" i="2"/>
  <c r="J51" i="2"/>
  <c r="L48" i="2"/>
  <c r="P52" i="2"/>
  <c r="K51" i="2"/>
  <c r="K50" i="2"/>
  <c r="K48" i="2"/>
  <c r="K49" i="2" s="1"/>
  <c r="E46" i="2"/>
  <c r="N44" i="2"/>
  <c r="E44" i="2"/>
  <c r="M40" i="2"/>
  <c r="E40" i="2"/>
  <c r="M39" i="2"/>
  <c r="E39" i="2"/>
  <c r="L34" i="2"/>
  <c r="D34" i="2"/>
  <c r="P32" i="2"/>
  <c r="H32" i="2"/>
  <c r="P31" i="2"/>
  <c r="H31" i="2"/>
  <c r="P30" i="2"/>
  <c r="H30" i="2"/>
  <c r="O29" i="2"/>
  <c r="G29" i="2"/>
  <c r="M27" i="2"/>
  <c r="E27" i="2"/>
  <c r="P25" i="2"/>
  <c r="J52" i="2"/>
  <c r="I51" i="2"/>
  <c r="I50" i="2"/>
  <c r="J48" i="2"/>
  <c r="J49" i="2" s="1"/>
  <c r="L40" i="2"/>
  <c r="D40" i="2"/>
  <c r="L39" i="2"/>
  <c r="D39" i="2"/>
  <c r="G32" i="2"/>
  <c r="L27" i="2"/>
  <c r="H52" i="2"/>
  <c r="F51" i="2"/>
  <c r="F50" i="2"/>
  <c r="I48" i="2"/>
  <c r="I49" i="2" s="1"/>
  <c r="F12" i="1" s="1"/>
  <c r="O46" i="2"/>
  <c r="L44" i="2"/>
  <c r="S40" i="2"/>
  <c r="K40" i="2"/>
  <c r="S39" i="2"/>
  <c r="K39" i="2"/>
  <c r="N32" i="2"/>
  <c r="F32" i="2"/>
  <c r="N31" i="2"/>
  <c r="F31" i="2"/>
  <c r="N30" i="2"/>
  <c r="F30" i="2"/>
  <c r="M29" i="2"/>
  <c r="E29" i="2"/>
  <c r="L28" i="2"/>
  <c r="S27" i="2"/>
  <c r="K27" i="2"/>
  <c r="D48" i="2"/>
  <c r="K44" i="2"/>
  <c r="R40" i="2"/>
  <c r="J40" i="2"/>
  <c r="R39" i="2"/>
  <c r="J39" i="2"/>
  <c r="M32" i="2"/>
  <c r="E32" i="2"/>
  <c r="M31" i="2"/>
  <c r="E31" i="2"/>
  <c r="M30" i="2"/>
  <c r="E30" i="2"/>
  <c r="L29" i="2"/>
  <c r="R27" i="2"/>
  <c r="J27" i="2"/>
  <c r="M25" i="2"/>
  <c r="E25" i="2"/>
  <c r="M24" i="2"/>
  <c r="S48" i="2"/>
  <c r="L32" i="2"/>
  <c r="D32" i="2"/>
  <c r="L31" i="2"/>
  <c r="D31" i="2"/>
  <c r="L30" i="2"/>
  <c r="Q27" i="2"/>
  <c r="I27" i="2"/>
  <c r="L25" i="2"/>
  <c r="D25" i="2"/>
  <c r="L24" i="2"/>
  <c r="D24" i="2"/>
  <c r="L23" i="2"/>
  <c r="S51" i="2"/>
  <c r="S50" i="2"/>
  <c r="R48" i="2"/>
  <c r="L46" i="2"/>
  <c r="R44" i="2"/>
  <c r="I44" i="2"/>
  <c r="Q51" i="2"/>
  <c r="Q50" i="2"/>
  <c r="Q48" i="2"/>
  <c r="H46" i="2"/>
  <c r="P44" i="2"/>
  <c r="H44" i="2"/>
  <c r="O40" i="2"/>
  <c r="G40" i="2"/>
  <c r="O39" i="2"/>
  <c r="G39" i="2"/>
  <c r="N34" i="2"/>
  <c r="F34" i="2"/>
  <c r="R32" i="2"/>
  <c r="J32" i="2"/>
  <c r="N40" i="2"/>
  <c r="N39" i="2"/>
  <c r="K31" i="2"/>
  <c r="S30" i="2"/>
  <c r="H29" i="2"/>
  <c r="O28" i="2"/>
  <c r="H25" i="2"/>
  <c r="I24" i="2"/>
  <c r="M23" i="2"/>
  <c r="J18" i="2"/>
  <c r="M48" i="2"/>
  <c r="H40" i="2"/>
  <c r="H39" i="2"/>
  <c r="J31" i="2"/>
  <c r="R30" i="2"/>
  <c r="I28" i="2"/>
  <c r="P27" i="2"/>
  <c r="S25" i="2"/>
  <c r="F25" i="2"/>
  <c r="S24" i="2"/>
  <c r="H24" i="2"/>
  <c r="K23" i="2"/>
  <c r="O51" i="2"/>
  <c r="F40" i="2"/>
  <c r="F39" i="2"/>
  <c r="L37" i="2"/>
  <c r="O34" i="2"/>
  <c r="I31" i="2"/>
  <c r="Q30" i="2"/>
  <c r="H28" i="2"/>
  <c r="O27" i="2"/>
  <c r="R25" i="2"/>
  <c r="R24" i="2"/>
  <c r="F24" i="2"/>
  <c r="J23" i="2"/>
  <c r="Q18" i="2"/>
  <c r="H18" i="2"/>
  <c r="J37" i="2"/>
  <c r="M34" i="2"/>
  <c r="K30" i="2"/>
  <c r="R29" i="2"/>
  <c r="G28" i="2"/>
  <c r="N27" i="2"/>
  <c r="Q25" i="2"/>
  <c r="Q24" i="2"/>
  <c r="E24" i="2"/>
  <c r="S23" i="2"/>
  <c r="I23" i="2"/>
  <c r="N22" i="2"/>
  <c r="E22" i="2"/>
  <c r="K21" i="2"/>
  <c r="J19" i="2"/>
  <c r="P18" i="2"/>
  <c r="G18" i="2"/>
  <c r="O17" i="2"/>
  <c r="G17" i="2"/>
  <c r="O16" i="2"/>
  <c r="G16" i="2"/>
  <c r="O15" i="2"/>
  <c r="G15" i="2"/>
  <c r="O14" i="2"/>
  <c r="G14" i="2"/>
  <c r="O13" i="2"/>
  <c r="G13" i="2"/>
  <c r="O12" i="2"/>
  <c r="G12" i="2"/>
  <c r="O44" i="2"/>
  <c r="G34" i="2"/>
  <c r="S32" i="2"/>
  <c r="J30" i="2"/>
  <c r="Q29" i="2"/>
  <c r="H27" i="2"/>
  <c r="N25" i="2"/>
  <c r="P24" i="2"/>
  <c r="R23" i="2"/>
  <c r="H23" i="2"/>
  <c r="O50" i="2"/>
  <c r="F46" i="2"/>
  <c r="F44" i="2"/>
  <c r="L42" i="2"/>
  <c r="E34" i="2"/>
  <c r="Q32" i="2"/>
  <c r="S31" i="2"/>
  <c r="I30" i="2"/>
  <c r="P29" i="2"/>
  <c r="G27" i="2"/>
  <c r="K25" i="2"/>
  <c r="N24" i="2"/>
  <c r="Q23" i="2"/>
  <c r="F23" i="2"/>
  <c r="L22" i="2"/>
  <c r="R21" i="2"/>
  <c r="I21" i="2"/>
  <c r="Q19" i="2"/>
  <c r="H19" i="2"/>
  <c r="K32" i="2"/>
  <c r="R31" i="2"/>
  <c r="J29" i="2"/>
  <c r="Q28" i="2"/>
  <c r="F27" i="2"/>
  <c r="J25" i="2"/>
  <c r="K24" i="2"/>
  <c r="P23" i="2"/>
  <c r="E23" i="2"/>
  <c r="K22" i="2"/>
  <c r="M18" i="2"/>
  <c r="D18" i="2"/>
  <c r="L17" i="2"/>
  <c r="D17" i="2"/>
  <c r="L16" i="2"/>
  <c r="D16" i="2"/>
  <c r="L15" i="2"/>
  <c r="D15" i="2"/>
  <c r="L14" i="2"/>
  <c r="D14" i="2"/>
  <c r="L13" i="2"/>
  <c r="D13" i="2"/>
  <c r="L12" i="2"/>
  <c r="D12" i="2"/>
  <c r="L11" i="2"/>
  <c r="G5" i="2"/>
  <c r="O6" i="2"/>
  <c r="G7" i="2"/>
  <c r="O8" i="2"/>
  <c r="G9" i="2"/>
  <c r="O10" i="2"/>
  <c r="G11" i="2"/>
  <c r="E13" i="2"/>
  <c r="K14" i="2"/>
  <c r="M15" i="2"/>
  <c r="S16" i="2"/>
  <c r="R17" i="2"/>
  <c r="F19" i="2"/>
  <c r="S21" i="2"/>
  <c r="N23" i="2"/>
  <c r="I29" i="2"/>
  <c r="Q36" i="2"/>
  <c r="I36" i="2"/>
  <c r="P36" i="2"/>
  <c r="H36" i="2"/>
  <c r="O36" i="2"/>
  <c r="G36" i="2"/>
  <c r="N36" i="2"/>
  <c r="F36" i="2"/>
  <c r="M36" i="2"/>
  <c r="E36" i="2"/>
  <c r="S36" i="2"/>
  <c r="K36" i="2"/>
  <c r="R36" i="2"/>
  <c r="L36" i="2"/>
  <c r="J36" i="2"/>
  <c r="R45" i="2"/>
  <c r="J45" i="2"/>
  <c r="S45" i="2"/>
  <c r="I45" i="2"/>
  <c r="Q45" i="2"/>
  <c r="H45" i="2"/>
  <c r="P45" i="2"/>
  <c r="F45" i="2"/>
  <c r="O45" i="2"/>
  <c r="E45" i="2"/>
  <c r="N45" i="2"/>
  <c r="D45" i="2"/>
  <c r="M45" i="2"/>
  <c r="L45" i="2"/>
  <c r="K45" i="2"/>
  <c r="G19" i="2"/>
  <c r="P19" i="2"/>
  <c r="H21" i="2"/>
  <c r="Q21" i="2"/>
  <c r="O22" i="2"/>
  <c r="G22" i="2"/>
  <c r="Q39" i="2"/>
  <c r="Q40" i="2"/>
  <c r="J42" i="2"/>
  <c r="J43" i="2" s="1"/>
  <c r="N28" i="2"/>
  <c r="F11" i="2"/>
  <c r="N11" i="2"/>
  <c r="F12" i="2"/>
  <c r="N12" i="2"/>
  <c r="F13" i="2"/>
  <c r="N13" i="2"/>
  <c r="F14" i="2"/>
  <c r="N14" i="2"/>
  <c r="F15" i="2"/>
  <c r="N15" i="2"/>
  <c r="F16" i="2"/>
  <c r="N16" i="2"/>
  <c r="F17" i="2"/>
  <c r="N17" i="2"/>
  <c r="F18" i="2"/>
  <c r="O18" i="2"/>
  <c r="I19" i="2"/>
  <c r="J21" i="2"/>
  <c r="D22" i="2"/>
  <c r="M22" i="2"/>
  <c r="O31" i="2"/>
  <c r="D37" i="2"/>
  <c r="P46" i="2"/>
  <c r="S19" i="2"/>
  <c r="K19" i="2"/>
  <c r="O21" i="2"/>
  <c r="G21" i="2"/>
  <c r="O32" i="2"/>
  <c r="Q42" i="2"/>
  <c r="I42" i="2"/>
  <c r="I43" i="2" s="1"/>
  <c r="F10" i="1" s="1"/>
  <c r="P42" i="2"/>
  <c r="H42" i="2"/>
  <c r="H43" i="2" s="1"/>
  <c r="D10" i="1" s="1"/>
  <c r="O42" i="2"/>
  <c r="G42" i="2"/>
  <c r="N42" i="2"/>
  <c r="F42" i="2"/>
  <c r="M42" i="2"/>
  <c r="E42" i="2"/>
  <c r="S42" i="2"/>
  <c r="K42" i="2"/>
  <c r="K43" i="2" s="1"/>
  <c r="S44" i="2"/>
  <c r="H11" i="2"/>
  <c r="P11" i="2"/>
  <c r="H12" i="2"/>
  <c r="P12" i="2"/>
  <c r="H13" i="2"/>
  <c r="P13" i="2"/>
  <c r="H14" i="2"/>
  <c r="P14" i="2"/>
  <c r="H15" i="2"/>
  <c r="P15" i="2"/>
  <c r="H16" i="2"/>
  <c r="P16" i="2"/>
  <c r="H17" i="2"/>
  <c r="P17" i="2"/>
  <c r="L19" i="2"/>
  <c r="L21" i="2"/>
  <c r="F22" i="2"/>
  <c r="P22" i="2"/>
  <c r="O23" i="2"/>
  <c r="N29" i="2"/>
  <c r="I11" i="2"/>
  <c r="Q11" i="2"/>
  <c r="I12" i="2"/>
  <c r="Q12" i="2"/>
  <c r="I13" i="2"/>
  <c r="Q13" i="2"/>
  <c r="I14" i="2"/>
  <c r="Q14" i="2"/>
  <c r="I15" i="2"/>
  <c r="Q15" i="2"/>
  <c r="I16" i="2"/>
  <c r="Q16" i="2"/>
  <c r="I17" i="2"/>
  <c r="Q17" i="2"/>
  <c r="I18" i="2"/>
  <c r="D19" i="2"/>
  <c r="M19" i="2"/>
  <c r="D21" i="2"/>
  <c r="M21" i="2"/>
  <c r="H22" i="2"/>
  <c r="Q22" i="2"/>
  <c r="S34" i="2"/>
  <c r="J11" i="2"/>
  <c r="J12" i="2"/>
  <c r="J13" i="2"/>
  <c r="J14" i="2"/>
  <c r="J15" i="2"/>
  <c r="J16" i="2"/>
  <c r="J17" i="2"/>
  <c r="S18" i="2"/>
  <c r="K18" i="2"/>
  <c r="E19" i="2"/>
  <c r="N19" i="2"/>
  <c r="E21" i="2"/>
  <c r="N21" i="2"/>
  <c r="I22" i="2"/>
  <c r="R22" i="2"/>
  <c r="O24" i="2"/>
  <c r="O25" i="2"/>
  <c r="Q37" i="2"/>
  <c r="I37" i="2"/>
  <c r="P37" i="2"/>
  <c r="H37" i="2"/>
  <c r="O37" i="2"/>
  <c r="G37" i="2"/>
  <c r="N37" i="2"/>
  <c r="F37" i="2"/>
  <c r="M37" i="2"/>
  <c r="E37" i="2"/>
  <c r="S37" i="2"/>
  <c r="K37" i="2"/>
  <c r="M52" i="2"/>
  <c r="J28" i="2"/>
  <c r="R28" i="2"/>
  <c r="K29" i="2"/>
  <c r="S29" i="2"/>
  <c r="H34" i="2"/>
  <c r="H35" i="2" s="1"/>
  <c r="D7" i="1" s="1"/>
  <c r="P34" i="2"/>
  <c r="I39" i="2"/>
  <c r="I40" i="2"/>
  <c r="J44" i="2"/>
  <c r="M46" i="2"/>
  <c r="N50" i="2"/>
  <c r="K28" i="2"/>
  <c r="S28" i="2"/>
  <c r="I34" i="2"/>
  <c r="I35" i="2" s="1"/>
  <c r="F7" i="1" s="1"/>
  <c r="Q34" i="2"/>
  <c r="Q44" i="2"/>
  <c r="N46" i="2"/>
  <c r="P48" i="2"/>
  <c r="J34" i="2"/>
  <c r="J35" i="2" s="1"/>
  <c r="R34" i="2"/>
  <c r="G23" i="2"/>
  <c r="G24" i="2"/>
  <c r="G25" i="2"/>
  <c r="E28" i="2"/>
  <c r="M28" i="2"/>
  <c r="F29" i="2"/>
  <c r="G30" i="2"/>
  <c r="G31" i="2"/>
  <c r="K34" i="2"/>
  <c r="K35" i="2" s="1"/>
  <c r="D44" i="2"/>
  <c r="M44" i="2"/>
  <c r="D46" i="2"/>
  <c r="F28" i="2"/>
  <c r="S46" i="2"/>
  <c r="K46" i="2"/>
  <c r="R46" i="2"/>
  <c r="J46" i="2"/>
  <c r="Q46" i="2"/>
  <c r="I46" i="2"/>
  <c r="J50" i="2"/>
  <c r="R50" i="2"/>
  <c r="I52" i="2"/>
  <c r="Q52" i="2"/>
  <c r="E48" i="2"/>
  <c r="N48" i="2"/>
  <c r="K52" i="2"/>
  <c r="S52" i="2"/>
  <c r="F48" i="2"/>
  <c r="O48" i="2"/>
  <c r="H48" i="2"/>
  <c r="H49" i="2" s="1"/>
  <c r="D12" i="1" s="1"/>
  <c r="E50" i="2"/>
  <c r="E52" i="2"/>
  <c r="H118" i="2" l="1"/>
  <c r="D21" i="1" s="1"/>
  <c r="Y68" i="2"/>
  <c r="Z68" i="2"/>
  <c r="W68" i="2"/>
  <c r="X68" i="2"/>
  <c r="AA68" i="2"/>
  <c r="AB68" i="2" s="1"/>
  <c r="AA69" i="2"/>
  <c r="AB69" i="2" s="1"/>
  <c r="W69" i="2"/>
  <c r="Y69" i="2"/>
  <c r="X69" i="2"/>
  <c r="Z69" i="2"/>
  <c r="I78" i="2"/>
  <c r="F18" i="1" s="1"/>
  <c r="K78" i="2"/>
  <c r="K82" i="2" s="1"/>
  <c r="H78" i="2"/>
  <c r="D18" i="1" s="1"/>
  <c r="Y67" i="2"/>
  <c r="Z67" i="2"/>
  <c r="W67" i="2"/>
  <c r="AA67" i="2"/>
  <c r="AB67" i="2" s="1"/>
  <c r="X67" i="2"/>
  <c r="AA85" i="2"/>
  <c r="AB85" i="2" s="1"/>
  <c r="W85" i="2"/>
  <c r="X85" i="2"/>
  <c r="Y85" i="2"/>
  <c r="Z85" i="2"/>
  <c r="Z64" i="2"/>
  <c r="AA64" i="2"/>
  <c r="AB64" i="2" s="1"/>
  <c r="Y64" i="2"/>
  <c r="W64" i="2"/>
  <c r="X64" i="2"/>
  <c r="X75" i="2"/>
  <c r="Y75" i="2"/>
  <c r="AA75" i="2"/>
  <c r="AB75" i="2" s="1"/>
  <c r="Z75" i="2"/>
  <c r="W75" i="2"/>
  <c r="Y86" i="2"/>
  <c r="X86" i="2"/>
  <c r="Z86" i="2"/>
  <c r="AA86" i="2"/>
  <c r="AB86" i="2" s="1"/>
  <c r="W86" i="2"/>
  <c r="J78" i="2"/>
  <c r="J82" i="2" s="1"/>
  <c r="W65" i="2"/>
  <c r="X65" i="2"/>
  <c r="Y65" i="2"/>
  <c r="Z65" i="2"/>
  <c r="AA65" i="2"/>
  <c r="AB65" i="2" s="1"/>
  <c r="AA76" i="2"/>
  <c r="AB76" i="2" s="1"/>
  <c r="W76" i="2"/>
  <c r="X76" i="2"/>
  <c r="Y76" i="2"/>
  <c r="Z76" i="2"/>
  <c r="AA83" i="2"/>
  <c r="AB83" i="2" s="1"/>
  <c r="Z83" i="2"/>
  <c r="Y83" i="2"/>
  <c r="W83" i="2"/>
  <c r="X83" i="2"/>
  <c r="AA87" i="2"/>
  <c r="AB87" i="2" s="1"/>
  <c r="W87" i="2"/>
  <c r="X87" i="2"/>
  <c r="Y87" i="2"/>
  <c r="Z87" i="2"/>
  <c r="W66" i="2"/>
  <c r="Y66" i="2"/>
  <c r="AA66" i="2"/>
  <c r="AB66" i="2" s="1"/>
  <c r="X66" i="2"/>
  <c r="Z66" i="2"/>
  <c r="W84" i="2"/>
  <c r="X84" i="2"/>
  <c r="Y84" i="2"/>
  <c r="Z84" i="2"/>
  <c r="AA84" i="2"/>
  <c r="AB84" i="2" s="1"/>
  <c r="K90" i="2"/>
  <c r="K93" i="2" s="1"/>
  <c r="J97" i="2"/>
  <c r="J101" i="2" s="1"/>
  <c r="C56" i="2"/>
  <c r="V56" i="2" s="1"/>
  <c r="B69" i="9" s="1"/>
  <c r="K74" i="2"/>
  <c r="I74" i="2"/>
  <c r="I118" i="2"/>
  <c r="F21" i="1" s="1"/>
  <c r="I90" i="2"/>
  <c r="I93" i="2" s="1"/>
  <c r="I97" i="2"/>
  <c r="J90" i="2"/>
  <c r="J93" i="2" s="1"/>
  <c r="X58" i="2"/>
  <c r="Y58" i="2"/>
  <c r="Z58" i="2"/>
  <c r="AA58" i="2"/>
  <c r="AB58" i="2" s="1"/>
  <c r="W58" i="2"/>
  <c r="Y62" i="2"/>
  <c r="Z62" i="2"/>
  <c r="AA62" i="2"/>
  <c r="AB62" i="2" s="1"/>
  <c r="W62" i="2"/>
  <c r="X62" i="2"/>
  <c r="AA72" i="2"/>
  <c r="AB72" i="2" s="1"/>
  <c r="W72" i="2"/>
  <c r="X72" i="2"/>
  <c r="Y72" i="2"/>
  <c r="Z72" i="2"/>
  <c r="W89" i="2"/>
  <c r="Y89" i="2"/>
  <c r="X89" i="2"/>
  <c r="Z89" i="2"/>
  <c r="AA89" i="2"/>
  <c r="AB89" i="2" s="1"/>
  <c r="AA96" i="2"/>
  <c r="AB96" i="2" s="1"/>
  <c r="W96" i="2"/>
  <c r="X96" i="2"/>
  <c r="Y96" i="2"/>
  <c r="Z96" i="2"/>
  <c r="Y105" i="2"/>
  <c r="Z105" i="2"/>
  <c r="AA105" i="2"/>
  <c r="AB105" i="2" s="1"/>
  <c r="W105" i="2"/>
  <c r="X105" i="2"/>
  <c r="AA109" i="2"/>
  <c r="AB109" i="2" s="1"/>
  <c r="W109" i="2"/>
  <c r="X109" i="2"/>
  <c r="Y109" i="2"/>
  <c r="Z109" i="2"/>
  <c r="Z113" i="2"/>
  <c r="AA113" i="2"/>
  <c r="AB113" i="2" s="1"/>
  <c r="W113" i="2"/>
  <c r="X113" i="2"/>
  <c r="Y113" i="2"/>
  <c r="Q74" i="2"/>
  <c r="M74" i="2"/>
  <c r="L74" i="2"/>
  <c r="N74" i="2"/>
  <c r="S74" i="2"/>
  <c r="O74" i="2"/>
  <c r="R74" i="2"/>
  <c r="P74" i="2"/>
  <c r="S118" i="2"/>
  <c r="R118" i="2"/>
  <c r="Q118" i="2"/>
  <c r="L118" i="2"/>
  <c r="M118" i="2"/>
  <c r="N118" i="2"/>
  <c r="O118" i="2"/>
  <c r="P118" i="2"/>
  <c r="H74" i="2"/>
  <c r="W55" i="2"/>
  <c r="Y55" i="2"/>
  <c r="AA55" i="2"/>
  <c r="AB55" i="2" s="1"/>
  <c r="Z55" i="2"/>
  <c r="X55" i="2"/>
  <c r="Z59" i="2"/>
  <c r="AA59" i="2"/>
  <c r="AB59" i="2" s="1"/>
  <c r="W59" i="2"/>
  <c r="X59" i="2"/>
  <c r="Y59" i="2"/>
  <c r="AA63" i="2"/>
  <c r="AB63" i="2" s="1"/>
  <c r="Y63" i="2"/>
  <c r="Z63" i="2"/>
  <c r="W63" i="2"/>
  <c r="X63" i="2"/>
  <c r="X73" i="2"/>
  <c r="Y73" i="2"/>
  <c r="AA73" i="2"/>
  <c r="AB73" i="2" s="1"/>
  <c r="W73" i="2"/>
  <c r="Z73" i="2"/>
  <c r="W102" i="2"/>
  <c r="X102" i="2"/>
  <c r="Y102" i="2"/>
  <c r="Z102" i="2"/>
  <c r="AA102" i="2"/>
  <c r="AB102" i="2" s="1"/>
  <c r="W106" i="2"/>
  <c r="X106" i="2"/>
  <c r="Y106" i="2"/>
  <c r="Z106" i="2"/>
  <c r="AA106" i="2"/>
  <c r="AB106" i="2" s="1"/>
  <c r="AA110" i="2"/>
  <c r="AB110" i="2" s="1"/>
  <c r="W110" i="2"/>
  <c r="X110" i="2"/>
  <c r="Y110" i="2"/>
  <c r="Z110" i="2"/>
  <c r="W114" i="2"/>
  <c r="X114" i="2"/>
  <c r="Y114" i="2"/>
  <c r="Z114" i="2"/>
  <c r="AA114" i="2"/>
  <c r="AB114" i="2" s="1"/>
  <c r="L82" i="2"/>
  <c r="M82" i="2"/>
  <c r="N82" i="2"/>
  <c r="O82" i="2"/>
  <c r="P82" i="2"/>
  <c r="Q82" i="2"/>
  <c r="S82" i="2"/>
  <c r="R82" i="2"/>
  <c r="O101" i="2"/>
  <c r="P101" i="2"/>
  <c r="Q101" i="2"/>
  <c r="S101" i="2"/>
  <c r="R101" i="2"/>
  <c r="L101" i="2"/>
  <c r="M101" i="2"/>
  <c r="N101" i="2"/>
  <c r="H97" i="2"/>
  <c r="J118" i="2"/>
  <c r="Z56" i="2"/>
  <c r="AA56" i="2"/>
  <c r="AB56" i="2" s="1"/>
  <c r="W56" i="2"/>
  <c r="X56" i="2"/>
  <c r="Y56" i="2"/>
  <c r="W60" i="2"/>
  <c r="Y60" i="2"/>
  <c r="Z60" i="2"/>
  <c r="AA60" i="2"/>
  <c r="AB60" i="2" s="1"/>
  <c r="X60" i="2"/>
  <c r="X70" i="2"/>
  <c r="AA70" i="2"/>
  <c r="AB70" i="2" s="1"/>
  <c r="W70" i="2"/>
  <c r="Y70" i="2"/>
  <c r="Z70" i="2"/>
  <c r="X77" i="2"/>
  <c r="Y77" i="2"/>
  <c r="Z77" i="2"/>
  <c r="AA77" i="2"/>
  <c r="AB77" i="2" s="1"/>
  <c r="W77" i="2"/>
  <c r="AA94" i="2"/>
  <c r="AB94" i="2" s="1"/>
  <c r="W94" i="2"/>
  <c r="X94" i="2"/>
  <c r="Y94" i="2"/>
  <c r="Z94" i="2"/>
  <c r="AA103" i="2"/>
  <c r="AB103" i="2" s="1"/>
  <c r="W103" i="2"/>
  <c r="X103" i="2"/>
  <c r="Y103" i="2"/>
  <c r="Z103" i="2"/>
  <c r="AA107" i="2"/>
  <c r="AB107" i="2" s="1"/>
  <c r="W107" i="2"/>
  <c r="X107" i="2"/>
  <c r="Y107" i="2"/>
  <c r="Z107" i="2"/>
  <c r="X111" i="2"/>
  <c r="Y111" i="2"/>
  <c r="Z111" i="2"/>
  <c r="AA111" i="2"/>
  <c r="AB111" i="2" s="1"/>
  <c r="W111" i="2"/>
  <c r="AA115" i="2"/>
  <c r="AB115" i="2" s="1"/>
  <c r="W115" i="2"/>
  <c r="X115" i="2"/>
  <c r="Y115" i="2"/>
  <c r="Z115" i="2"/>
  <c r="V55" i="2"/>
  <c r="B68" i="9" s="1"/>
  <c r="H90" i="2"/>
  <c r="K118" i="2"/>
  <c r="J74" i="2"/>
  <c r="Y57" i="2"/>
  <c r="Z57" i="2"/>
  <c r="AA57" i="2"/>
  <c r="AB57" i="2" s="1"/>
  <c r="W57" i="2"/>
  <c r="X57" i="2"/>
  <c r="AA61" i="2"/>
  <c r="AB61" i="2" s="1"/>
  <c r="W61" i="2"/>
  <c r="X61" i="2"/>
  <c r="Y61" i="2"/>
  <c r="Z61" i="2"/>
  <c r="AA71" i="2"/>
  <c r="AB71" i="2" s="1"/>
  <c r="X71" i="2"/>
  <c r="W71" i="2"/>
  <c r="Y71" i="2"/>
  <c r="Z71" i="2"/>
  <c r="AA88" i="2"/>
  <c r="AB88" i="2" s="1"/>
  <c r="W88" i="2"/>
  <c r="X88" i="2"/>
  <c r="Y88" i="2"/>
  <c r="Z88" i="2"/>
  <c r="X95" i="2"/>
  <c r="Y95" i="2"/>
  <c r="Z95" i="2"/>
  <c r="AA95" i="2"/>
  <c r="AB95" i="2" s="1"/>
  <c r="W95" i="2"/>
  <c r="W104" i="2"/>
  <c r="X104" i="2"/>
  <c r="AA104" i="2"/>
  <c r="AB104" i="2" s="1"/>
  <c r="Y104" i="2"/>
  <c r="Z104" i="2"/>
  <c r="Y108" i="2"/>
  <c r="Z108" i="2"/>
  <c r="AA108" i="2"/>
  <c r="AB108" i="2" s="1"/>
  <c r="W108" i="2"/>
  <c r="X108" i="2"/>
  <c r="AA112" i="2"/>
  <c r="AB112" i="2" s="1"/>
  <c r="W112" i="2"/>
  <c r="X112" i="2"/>
  <c r="Y112" i="2"/>
  <c r="Z112" i="2"/>
  <c r="K97" i="2"/>
  <c r="K101" i="2" s="1"/>
  <c r="H41" i="2"/>
  <c r="D9" i="1" s="1"/>
  <c r="H33" i="2"/>
  <c r="D6" i="1" s="1"/>
  <c r="K26" i="2"/>
  <c r="K47" i="2"/>
  <c r="I38" i="2"/>
  <c r="F8" i="1" s="1"/>
  <c r="K20" i="2"/>
  <c r="X21" i="2"/>
  <c r="Y21" i="2"/>
  <c r="W21" i="2"/>
  <c r="AA21" i="2"/>
  <c r="AB21" i="2" s="1"/>
  <c r="Z21" i="2"/>
  <c r="AA34" i="2"/>
  <c r="AB34" i="2" s="1"/>
  <c r="Z34" i="2"/>
  <c r="Y34" i="2"/>
  <c r="W34" i="2"/>
  <c r="X34" i="2"/>
  <c r="Y48" i="2"/>
  <c r="X48" i="2"/>
  <c r="W48" i="2"/>
  <c r="AA48" i="2"/>
  <c r="AB48" i="2" s="1"/>
  <c r="Z48" i="2"/>
  <c r="I26" i="2"/>
  <c r="F5" i="1" s="1"/>
  <c r="H20" i="2"/>
  <c r="J38" i="2"/>
  <c r="Y25" i="2"/>
  <c r="X25" i="2"/>
  <c r="AA25" i="2"/>
  <c r="AB25" i="2" s="1"/>
  <c r="Z25" i="2"/>
  <c r="W25" i="2"/>
  <c r="Y32" i="2"/>
  <c r="X32" i="2"/>
  <c r="W32" i="2"/>
  <c r="AA32" i="2"/>
  <c r="AB32" i="2" s="1"/>
  <c r="Z32" i="2"/>
  <c r="J41" i="2"/>
  <c r="K41" i="2"/>
  <c r="Z36" i="2"/>
  <c r="Y36" i="2"/>
  <c r="X36" i="2"/>
  <c r="W36" i="2"/>
  <c r="AA36" i="2"/>
  <c r="AB36" i="2" s="1"/>
  <c r="AA12" i="2"/>
  <c r="AB12" i="2" s="1"/>
  <c r="Z12" i="2"/>
  <c r="Y12" i="2"/>
  <c r="X12" i="2"/>
  <c r="W12" i="2"/>
  <c r="AA16" i="2"/>
  <c r="AB16" i="2" s="1"/>
  <c r="Z16" i="2"/>
  <c r="Y16" i="2"/>
  <c r="X16" i="2"/>
  <c r="W16" i="2"/>
  <c r="X22" i="2"/>
  <c r="AA22" i="2"/>
  <c r="AB22" i="2" s="1"/>
  <c r="Z22" i="2"/>
  <c r="Y22" i="2"/>
  <c r="W22" i="2"/>
  <c r="H47" i="2"/>
  <c r="D11" i="1" s="1"/>
  <c r="I20" i="2"/>
  <c r="X29" i="2"/>
  <c r="W29" i="2"/>
  <c r="Y29" i="2"/>
  <c r="AA29" i="2"/>
  <c r="AB29" i="2" s="1"/>
  <c r="Z29" i="2"/>
  <c r="I41" i="2"/>
  <c r="F9" i="1" s="1"/>
  <c r="AA11" i="2"/>
  <c r="AB11" i="2" s="1"/>
  <c r="Z11" i="2"/>
  <c r="Y11" i="2"/>
  <c r="W11" i="2"/>
  <c r="X11" i="2"/>
  <c r="AA8" i="2"/>
  <c r="AB8" i="2" s="1"/>
  <c r="Z8" i="2"/>
  <c r="Y8" i="2"/>
  <c r="W8" i="2"/>
  <c r="X8" i="2"/>
  <c r="X24" i="2"/>
  <c r="AA24" i="2"/>
  <c r="AB24" i="2" s="1"/>
  <c r="Z24" i="2"/>
  <c r="Y24" i="2"/>
  <c r="W24" i="2"/>
  <c r="Z44" i="2"/>
  <c r="X44" i="2"/>
  <c r="W44" i="2"/>
  <c r="AA44" i="2"/>
  <c r="AB44" i="2" s="1"/>
  <c r="Y44" i="2"/>
  <c r="X19" i="2"/>
  <c r="W19" i="2"/>
  <c r="AA19" i="2"/>
  <c r="AB19" i="2" s="1"/>
  <c r="Z19" i="2"/>
  <c r="Y19" i="2"/>
  <c r="H38" i="2"/>
  <c r="D8" i="1" s="1"/>
  <c r="AA13" i="2"/>
  <c r="AB13" i="2" s="1"/>
  <c r="Z13" i="2"/>
  <c r="Y13" i="2"/>
  <c r="X13" i="2"/>
  <c r="W13" i="2"/>
  <c r="AA17" i="2"/>
  <c r="AB17" i="2" s="1"/>
  <c r="Z17" i="2"/>
  <c r="Y17" i="2"/>
  <c r="X17" i="2"/>
  <c r="W17" i="2"/>
  <c r="AA39" i="2"/>
  <c r="AB39" i="2" s="1"/>
  <c r="Z39" i="2"/>
  <c r="X39" i="2"/>
  <c r="Y39" i="2"/>
  <c r="W39" i="2"/>
  <c r="J20" i="2"/>
  <c r="Y31" i="2"/>
  <c r="X31" i="2"/>
  <c r="W31" i="2"/>
  <c r="AA31" i="2"/>
  <c r="AB31" i="2" s="1"/>
  <c r="Z31" i="2"/>
  <c r="AA46" i="2"/>
  <c r="AB46" i="2" s="1"/>
  <c r="Z46" i="2"/>
  <c r="Y46" i="2"/>
  <c r="X46" i="2"/>
  <c r="W46" i="2"/>
  <c r="K33" i="2"/>
  <c r="K38" i="2"/>
  <c r="Z37" i="2"/>
  <c r="Y37" i="2"/>
  <c r="X37" i="2"/>
  <c r="W37" i="2"/>
  <c r="AA37" i="2"/>
  <c r="AB37" i="2" s="1"/>
  <c r="Z42" i="2"/>
  <c r="Y42" i="2"/>
  <c r="X42" i="2"/>
  <c r="W42" i="2"/>
  <c r="AA42" i="2"/>
  <c r="AB42" i="2" s="1"/>
  <c r="X23" i="2"/>
  <c r="W23" i="2"/>
  <c r="AA23" i="2"/>
  <c r="AB23" i="2" s="1"/>
  <c r="Z23" i="2"/>
  <c r="Y23" i="2"/>
  <c r="Y30" i="2"/>
  <c r="X30" i="2"/>
  <c r="W30" i="2"/>
  <c r="AA30" i="2"/>
  <c r="AB30" i="2" s="1"/>
  <c r="Z30" i="2"/>
  <c r="J33" i="2"/>
  <c r="W28" i="2"/>
  <c r="AA28" i="2"/>
  <c r="AB28" i="2" s="1"/>
  <c r="Z28" i="2"/>
  <c r="Y28" i="2"/>
  <c r="X28" i="2"/>
  <c r="AA6" i="2"/>
  <c r="AB6" i="2" s="1"/>
  <c r="Z6" i="2"/>
  <c r="Y6" i="2"/>
  <c r="W6" i="2"/>
  <c r="X6" i="2"/>
  <c r="AA9" i="2"/>
  <c r="AB9" i="2" s="1"/>
  <c r="Z9" i="2"/>
  <c r="Y9" i="2"/>
  <c r="W9" i="2"/>
  <c r="X9" i="2"/>
  <c r="H26" i="2"/>
  <c r="D5" i="1" s="1"/>
  <c r="AA45" i="2"/>
  <c r="AB45" i="2" s="1"/>
  <c r="Y45" i="2"/>
  <c r="Z45" i="2"/>
  <c r="X45" i="2"/>
  <c r="W45" i="2"/>
  <c r="I33" i="2"/>
  <c r="F6" i="1" s="1"/>
  <c r="J47" i="2"/>
  <c r="J26" i="2"/>
  <c r="AA14" i="2"/>
  <c r="AB14" i="2" s="1"/>
  <c r="Z14" i="2"/>
  <c r="Y14" i="2"/>
  <c r="X14" i="2"/>
  <c r="W14" i="2"/>
  <c r="I47" i="2"/>
  <c r="F11" i="1" s="1"/>
  <c r="AA27" i="2"/>
  <c r="AB27" i="2" s="1"/>
  <c r="Z27" i="2"/>
  <c r="Y27" i="2"/>
  <c r="X27" i="2"/>
  <c r="W27" i="2"/>
  <c r="AA40" i="2"/>
  <c r="AB40" i="2" s="1"/>
  <c r="Z40" i="2"/>
  <c r="X40" i="2"/>
  <c r="Y40" i="2"/>
  <c r="W40" i="2"/>
  <c r="O54" i="2"/>
  <c r="N54" i="2"/>
  <c r="M54" i="2"/>
  <c r="L54" i="2"/>
  <c r="S54" i="2"/>
  <c r="Q54" i="2"/>
  <c r="R54" i="2"/>
  <c r="P54" i="2"/>
  <c r="AA7" i="2"/>
  <c r="AB7" i="2" s="1"/>
  <c r="Z7" i="2"/>
  <c r="Y7" i="2"/>
  <c r="W7" i="2"/>
  <c r="X7" i="2"/>
  <c r="AA15" i="2"/>
  <c r="AB15" i="2" s="1"/>
  <c r="Z15" i="2"/>
  <c r="Y15" i="2"/>
  <c r="X15" i="2"/>
  <c r="W15" i="2"/>
  <c r="AA10" i="2"/>
  <c r="AB10" i="2" s="1"/>
  <c r="Z10" i="2"/>
  <c r="Y10" i="2"/>
  <c r="W10" i="2"/>
  <c r="X10" i="2"/>
  <c r="AA18" i="2"/>
  <c r="AB18" i="2" s="1"/>
  <c r="Z18" i="2"/>
  <c r="Y18" i="2"/>
  <c r="X18" i="2"/>
  <c r="W18" i="2"/>
  <c r="AA5" i="2"/>
  <c r="Z5" i="2"/>
  <c r="Y5" i="2"/>
  <c r="W5" i="2"/>
  <c r="X5" i="2"/>
  <c r="H82" i="2" l="1"/>
  <c r="I82" i="2"/>
  <c r="F19" i="1"/>
  <c r="C57" i="2"/>
  <c r="K120" i="2"/>
  <c r="J120" i="2"/>
  <c r="F20" i="1"/>
  <c r="I101" i="2"/>
  <c r="D20" i="1"/>
  <c r="H101" i="2"/>
  <c r="D19" i="1"/>
  <c r="H93" i="2"/>
  <c r="W121" i="2"/>
  <c r="D28" i="1" s="1"/>
  <c r="AA121" i="2"/>
  <c r="X121" i="2"/>
  <c r="F28" i="1" s="1"/>
  <c r="Y121" i="2"/>
  <c r="D30" i="1" s="1"/>
  <c r="Z121" i="2"/>
  <c r="F30" i="1" s="1"/>
  <c r="K54" i="2"/>
  <c r="AB5" i="2"/>
  <c r="AB121" i="2" s="1"/>
  <c r="F29" i="1" s="1"/>
  <c r="I54" i="2"/>
  <c r="F4" i="1"/>
  <c r="J54" i="2"/>
  <c r="H54" i="2"/>
  <c r="D4" i="1"/>
  <c r="V57" i="2" l="1"/>
  <c r="B70" i="9" s="1"/>
  <c r="I120" i="2"/>
  <c r="I121" i="2" s="1"/>
  <c r="C58" i="2"/>
  <c r="V58" i="2" s="1"/>
  <c r="B71" i="9" s="1"/>
  <c r="K121" i="2"/>
  <c r="J121" i="2"/>
  <c r="H120" i="2"/>
  <c r="H121" i="2" s="1"/>
  <c r="F31" i="1"/>
  <c r="F32" i="1" s="1"/>
  <c r="D31" i="1"/>
  <c r="D32" i="1" s="1"/>
  <c r="F14" i="1"/>
  <c r="D14" i="1"/>
  <c r="C59" i="2" l="1"/>
  <c r="G29" i="1"/>
  <c r="G30" i="1"/>
  <c r="G28" i="1"/>
  <c r="E29" i="1"/>
  <c r="E28" i="1"/>
  <c r="E30" i="1"/>
  <c r="V59" i="2" l="1"/>
  <c r="B72" i="9" s="1"/>
  <c r="C60" i="2"/>
  <c r="E31" i="1"/>
  <c r="E32" i="1" s="1"/>
  <c r="G31" i="1"/>
  <c r="G32" i="1" s="1"/>
  <c r="C61" i="2" l="1"/>
  <c r="V61" i="2" s="1"/>
  <c r="B74" i="9" s="1"/>
  <c r="V60" i="2"/>
  <c r="B73" i="9" s="1"/>
  <c r="C62" i="2" l="1"/>
  <c r="V62" i="2" s="1"/>
  <c r="B75" i="9"/>
  <c r="C63" i="2" l="1"/>
  <c r="V63" i="2" s="1"/>
  <c r="B76" i="9" s="1"/>
  <c r="C64" i="2" l="1"/>
  <c r="C65" i="2" s="1"/>
  <c r="V65" i="2" s="1"/>
  <c r="B51" i="9" s="1"/>
  <c r="V64" i="2" l="1"/>
  <c r="B45" i="9" s="1"/>
  <c r="C66" i="2"/>
  <c r="V66" i="2" s="1"/>
  <c r="B52" i="9" s="1"/>
  <c r="C67" i="2" l="1"/>
  <c r="V67" i="2" s="1"/>
  <c r="B53" i="9" s="1"/>
  <c r="C68" i="2" l="1"/>
  <c r="C69" i="2" s="1"/>
  <c r="V69" i="2" s="1"/>
  <c r="B42" i="9" s="1"/>
  <c r="V68" i="2" l="1"/>
  <c r="B41" i="9" s="1"/>
  <c r="C70" i="2"/>
  <c r="V70" i="2" s="1"/>
  <c r="B60" i="9" s="1"/>
  <c r="C71" i="2" l="1"/>
  <c r="V71" i="2" s="1"/>
  <c r="B64" i="9" s="1"/>
  <c r="C72" i="2" l="1"/>
  <c r="V72" i="2" s="1"/>
  <c r="B94" i="9" s="1"/>
  <c r="C73" i="2" l="1"/>
  <c r="C75" i="2" s="1"/>
  <c r="V75" i="2" s="1"/>
  <c r="B43" i="9" s="1"/>
  <c r="C76" i="2" l="1"/>
  <c r="V76" i="2" s="1"/>
  <c r="B44" i="9" s="1"/>
  <c r="V73" i="2"/>
  <c r="B59" i="9" s="1"/>
  <c r="C77" i="2" l="1"/>
  <c r="V77" i="2" s="1"/>
  <c r="B92" i="9" s="1"/>
  <c r="C79" i="2" l="1"/>
  <c r="V79" i="2" s="1"/>
  <c r="B47" i="9" s="1"/>
  <c r="C80" i="2" l="1"/>
  <c r="V80" i="2" s="1"/>
  <c r="B48" i="9" s="1"/>
  <c r="C81" i="2" l="1"/>
  <c r="V81" i="2" s="1"/>
  <c r="B46" i="9" s="1"/>
  <c r="C83" i="2" l="1"/>
  <c r="V83" i="2" s="1"/>
  <c r="B50" i="9" s="1"/>
  <c r="C84" i="2" l="1"/>
  <c r="V84" i="2" s="1"/>
  <c r="B54" i="9" s="1"/>
  <c r="C85" i="2" l="1"/>
  <c r="V85" i="2" s="1"/>
  <c r="B55" i="9" s="1"/>
  <c r="C86" i="2" l="1"/>
  <c r="V86" i="2" s="1"/>
  <c r="B56" i="9" s="1"/>
  <c r="C87" i="2" l="1"/>
  <c r="V87" i="2" s="1"/>
  <c r="B49" i="9" s="1"/>
  <c r="C88" i="2" l="1"/>
  <c r="C89" i="2" s="1"/>
  <c r="V89" i="2" s="1"/>
  <c r="V88" i="2" l="1"/>
  <c r="B86" i="9"/>
  <c r="B95" i="9" l="1"/>
  <c r="B58" i="9"/>
  <c r="K92" i="2"/>
  <c r="A96" i="9"/>
  <c r="Q92" i="2" s="1"/>
  <c r="N92" i="2" l="1"/>
  <c r="L38" i="2"/>
  <c r="M92" i="2"/>
  <c r="S49" i="2"/>
  <c r="S53" i="2"/>
  <c r="O53" i="2"/>
  <c r="P47" i="2"/>
  <c r="L92" i="2"/>
  <c r="L43" i="2"/>
  <c r="P92" i="2"/>
  <c r="D92" i="2"/>
  <c r="H92" i="2"/>
  <c r="N35" i="2"/>
  <c r="S38" i="2"/>
  <c r="N43" i="2"/>
  <c r="R38" i="2"/>
  <c r="N47" i="2"/>
  <c r="O33" i="2"/>
  <c r="M35" i="2"/>
  <c r="Q47" i="2"/>
  <c r="N20" i="2"/>
  <c r="O92" i="2"/>
  <c r="Q41" i="2"/>
  <c r="M53" i="2"/>
  <c r="Q26" i="2"/>
  <c r="M47" i="2"/>
  <c r="N53" i="2"/>
  <c r="L33" i="2"/>
  <c r="Q38" i="2"/>
  <c r="N33" i="2"/>
  <c r="P33" i="2"/>
  <c r="Q53" i="2"/>
  <c r="O47" i="2"/>
  <c r="L53" i="2"/>
  <c r="Q43" i="2"/>
  <c r="L35" i="2"/>
  <c r="M33" i="2"/>
  <c r="O35" i="2"/>
  <c r="L47" i="2"/>
  <c r="M26" i="2"/>
  <c r="P26" i="2"/>
  <c r="M38" i="2"/>
  <c r="P35" i="2"/>
  <c r="M43" i="2"/>
  <c r="B96" i="9"/>
  <c r="O26" i="2"/>
  <c r="S33" i="2"/>
  <c r="C91" i="2"/>
  <c r="V91" i="2" s="1"/>
  <c r="B57" i="9" s="1"/>
  <c r="M41" i="2"/>
  <c r="P38" i="2"/>
  <c r="N38" i="2"/>
  <c r="L41" i="2"/>
  <c r="S26" i="2"/>
  <c r="O41" i="2"/>
  <c r="R47" i="2"/>
  <c r="L20" i="2"/>
  <c r="R20" i="2"/>
  <c r="P43" i="2"/>
  <c r="Q35" i="2"/>
  <c r="R33" i="2"/>
  <c r="Q33" i="2"/>
  <c r="S20" i="2"/>
  <c r="S43" i="2"/>
  <c r="N49" i="2"/>
  <c r="R41" i="2"/>
  <c r="R53" i="2"/>
  <c r="S92" i="2"/>
  <c r="R35" i="2"/>
  <c r="F92" i="2"/>
  <c r="Q20" i="2"/>
  <c r="S47" i="2"/>
  <c r="J92" i="2"/>
  <c r="P20" i="2"/>
  <c r="R26" i="2"/>
  <c r="P53" i="2"/>
  <c r="P41" i="2"/>
  <c r="I92" i="2"/>
  <c r="M49" i="2"/>
  <c r="L49" i="2"/>
  <c r="O49" i="2"/>
  <c r="O20" i="2"/>
  <c r="R92" i="2"/>
  <c r="N41" i="2"/>
  <c r="R49" i="2"/>
  <c r="E92" i="2"/>
  <c r="G92" i="2"/>
  <c r="O43" i="2"/>
  <c r="S41" i="2"/>
  <c r="Q49" i="2"/>
  <c r="L26" i="2"/>
  <c r="S35" i="2"/>
  <c r="P49" i="2"/>
  <c r="N26" i="2"/>
  <c r="R43" i="2"/>
  <c r="M20" i="2"/>
  <c r="O38" i="2"/>
  <c r="C92" i="2" l="1"/>
  <c r="C94" i="2" s="1"/>
  <c r="V94" i="2" s="1"/>
  <c r="B61" i="9" s="1"/>
  <c r="N93" i="2"/>
  <c r="N120" i="2" s="1"/>
  <c r="N121" i="2" s="1"/>
  <c r="O93" i="2"/>
  <c r="O120" i="2" s="1"/>
  <c r="O121" i="2" s="1"/>
  <c r="M93" i="2"/>
  <c r="M120" i="2" s="1"/>
  <c r="M121" i="2" s="1"/>
  <c r="P93" i="2"/>
  <c r="P120" i="2" s="1"/>
  <c r="P121" i="2" s="1"/>
  <c r="S93" i="2"/>
  <c r="S120" i="2" s="1"/>
  <c r="S121" i="2" s="1"/>
  <c r="L93" i="2"/>
  <c r="L120" i="2" s="1"/>
  <c r="L121" i="2" s="1"/>
  <c r="Q93" i="2"/>
  <c r="Q120" i="2" s="1"/>
  <c r="Q121" i="2" s="1"/>
  <c r="R93" i="2"/>
  <c r="R120" i="2" s="1"/>
  <c r="R121" i="2" s="1"/>
  <c r="V92" i="2" l="1"/>
  <c r="B97" i="9" s="1"/>
  <c r="C95" i="2"/>
  <c r="V95" i="2" s="1"/>
  <c r="B62" i="9" s="1"/>
  <c r="C96" i="2" l="1"/>
  <c r="V96" i="2" s="1"/>
  <c r="B63" i="9" s="1"/>
  <c r="C98" i="2" l="1"/>
  <c r="V98" i="2" l="1"/>
  <c r="B65" i="9" s="1"/>
  <c r="C99" i="2"/>
  <c r="V99" i="2" s="1"/>
  <c r="B66" i="9" s="1"/>
  <c r="B67" i="9"/>
  <c r="C100" i="2" l="1"/>
  <c r="C102" i="2" s="1"/>
  <c r="V102" i="2" s="1"/>
  <c r="B77" i="9" s="1"/>
  <c r="V100" i="2" l="1"/>
  <c r="B93" i="9" s="1"/>
  <c r="C103" i="2"/>
  <c r="V103" i="2" l="1"/>
  <c r="B78" i="9" s="1"/>
  <c r="C104" i="2"/>
  <c r="V104" i="2" l="1"/>
  <c r="B79" i="9" s="1"/>
  <c r="C105" i="2"/>
  <c r="C106" i="2" l="1"/>
  <c r="V105" i="2"/>
  <c r="B80" i="9" s="1"/>
  <c r="V106" i="2" l="1"/>
  <c r="B85" i="9" s="1"/>
  <c r="C107" i="2"/>
  <c r="V107" i="2" l="1"/>
  <c r="B83" i="9" s="1"/>
  <c r="C108" i="2"/>
  <c r="C109" i="2" s="1"/>
  <c r="C110" i="2" s="1"/>
  <c r="C111" i="2" s="1"/>
  <c r="C112" i="2" s="1"/>
  <c r="C113" i="2" s="1"/>
  <c r="C114" i="2" s="1"/>
  <c r="C115" i="2" s="1"/>
  <c r="V108" i="2" l="1"/>
  <c r="B82" i="9" s="1"/>
  <c r="V109" i="2"/>
  <c r="B84" i="9" s="1"/>
  <c r="V110" i="2" l="1"/>
  <c r="B81" i="9" s="1"/>
  <c r="V111" i="2"/>
  <c r="B91" i="9" s="1"/>
  <c r="V112" i="2" l="1"/>
  <c r="B87" i="9" s="1"/>
  <c r="V113" i="2" l="1"/>
  <c r="B88" i="9" s="1"/>
  <c r="V114" i="2" l="1"/>
  <c r="B89" i="9" s="1"/>
  <c r="D7" i="11"/>
  <c r="D16" i="1" s="1"/>
  <c r="D8" i="11"/>
  <c r="D17" i="1" s="1"/>
  <c r="E7" i="11"/>
  <c r="F16" i="1" s="1"/>
  <c r="E8" i="11"/>
  <c r="F17" i="1" s="1"/>
  <c r="D6" i="11"/>
  <c r="D15" i="1" s="1"/>
  <c r="E6" i="11"/>
  <c r="F15" i="1" s="1"/>
  <c r="V115" i="2" l="1"/>
  <c r="B90" i="9" s="1"/>
  <c r="F22" i="1"/>
  <c r="F23" i="1" s="1"/>
  <c r="F24" i="1" s="1"/>
  <c r="G17" i="1" s="1"/>
  <c r="D22" i="1"/>
  <c r="D23" i="1" s="1"/>
  <c r="D24" i="1" s="1"/>
  <c r="E9" i="11"/>
  <c r="D9" i="11"/>
  <c r="G16" i="1" l="1"/>
  <c r="E19" i="1"/>
  <c r="E11" i="1"/>
  <c r="E7" i="1"/>
  <c r="E13" i="1"/>
  <c r="E9" i="1"/>
  <c r="E4" i="1"/>
  <c r="E10" i="1"/>
  <c r="E12" i="1"/>
  <c r="E20" i="1"/>
  <c r="E5" i="1"/>
  <c r="E21" i="1"/>
  <c r="E18" i="1"/>
  <c r="E6" i="1"/>
  <c r="E8" i="1"/>
  <c r="E22" i="1"/>
  <c r="E15" i="1"/>
  <c r="G7" i="1"/>
  <c r="G13" i="1"/>
  <c r="G12" i="1"/>
  <c r="G11" i="1"/>
  <c r="G21" i="1"/>
  <c r="G10" i="1"/>
  <c r="G20" i="1"/>
  <c r="G8" i="1"/>
  <c r="G19" i="1"/>
  <c r="G9" i="1"/>
  <c r="G4" i="1"/>
  <c r="G18" i="1"/>
  <c r="G5" i="1"/>
  <c r="G6" i="1"/>
  <c r="E16" i="1"/>
  <c r="G15" i="1"/>
  <c r="E17" i="1"/>
  <c r="G22" i="1"/>
  <c r="E23" i="1" l="1"/>
  <c r="G23" i="1"/>
  <c r="E14" i="1"/>
  <c r="G14" i="1"/>
  <c r="E24" i="1" l="1"/>
  <c r="G24" i="1"/>
</calcChain>
</file>

<file path=xl/sharedStrings.xml><?xml version="1.0" encoding="utf-8"?>
<sst xmlns="http://schemas.openxmlformats.org/spreadsheetml/2006/main" count="1053" uniqueCount="479">
  <si>
    <t>飞行器制造工程专业人才培养方案</t>
  </si>
  <si>
    <t>（专业代码：082003）</t>
  </si>
  <si>
    <t>一、专业简介</t>
  </si>
  <si>
    <t>二、培养目标</t>
  </si>
  <si>
    <t>三、毕业要求</t>
  </si>
  <si>
    <t xml:space="preserve">   （1）工程知识:能够将数学、自然科学、工程基础和专业知识用于解决飞行器制造工程领域的复杂工程问题。
   （2）问题分析能力:能够应用数学、自然科学和工程科学的基本原理，识别、表达并通过文献研究分析飞行器制造工程领域的复杂工程问题，以获得有效结论。
   （3）设计/开发解决方案:能够设计针对飞行器制造工程领域的复杂工程问题的解决方案，设计满足特定需要的系统、单元（部件）或工艺流程，具有设计飞行器系统、零部件和工艺过程的能力，并能够在设计环节中体现创新意识，考虑社会、健康、安全、法律、文化以及环境等因素。
   （4）研究:能够基于科学原理并采用科学方法对飞行器制造工程领域的复杂工程问题进行研究，包括设计实验、分析与解释数据,并通过信息综合得到合理有效的结论。
   （5）使用现代工具:能够针对飞行器制造工程领域的复杂工程问题，开发、选择与使用恰当的技术、资源、现代工程工具和信息技术工具，包括对飞行器制造工程领域的复杂工程问题的预测与模拟，并能够理解其局限性。
   （6）工程与社会:能够基于工程相关背景知识进行合理分析，评价专业工程实践和飞行器制造工程领域的复杂工程问题解决方案对社会、健康、安全、法律以及文化的影响，并理解应承担的责任。
   （7）环境和可持续发展:能够理解和评价针对飞行器制造工程领域的复杂工程问题的工程实践对环境、社会可持续发展的影响。
   （8）职业规范：具有人文社会科学素养、社会责任感，能够在飞行器制造工程实践中理解并遵守工程职业道德和规范，履行责任。
   （9）个人和团队:能够在多学科背景下的团队中承担个体、团队成员以及负责人的角色。
   （10）沟通:能够就飞行器制造工程领域的复杂工程问题与业界同行及社会公众进行有效沟通和交流，包括撰写报告和设计文稿、陈述发言、清晰表达或回应指令，具备一定的国际视野，能够在跨文化背景下进行沟通和交流。
   （11）项目管理：理解并掌握飞行器制造工程管理原理与经济决策方法，并能在多学科环境中应用。
   （12）终身学习：具有自主学习和终身学习的意识，有不断学习和适应发展的能力。</t>
  </si>
  <si>
    <t>四、学制、学分与学位</t>
  </si>
  <si>
    <t xml:space="preserve">     学制： 四年，学习年限三年至六年</t>
  </si>
  <si>
    <t xml:space="preserve">     学位： 工学学士</t>
  </si>
  <si>
    <t xml:space="preserve">     航空宇航科学与技术、机械工程、电子科学与技术、材料科学与工程</t>
  </si>
  <si>
    <t>专业代码</t>
  </si>
  <si>
    <t>082003</t>
  </si>
  <si>
    <t>专业名称</t>
  </si>
  <si>
    <t>飞行器制造工程</t>
  </si>
  <si>
    <t>专业能力课程平台 - 专业大类课程模块   数据定义</t>
  </si>
  <si>
    <t>模块序号</t>
  </si>
  <si>
    <t>模块名称</t>
  </si>
  <si>
    <t>课程数</t>
  </si>
  <si>
    <t>学分</t>
  </si>
  <si>
    <t>学时</t>
  </si>
  <si>
    <t>数学与自然科学类</t>
  </si>
  <si>
    <t>工程基础类</t>
  </si>
  <si>
    <t>专业基础类</t>
  </si>
  <si>
    <t>合计</t>
  </si>
  <si>
    <t>专业能力课程平台 - 专业能力模块    数据定义</t>
  </si>
  <si>
    <t>必修
课程数</t>
  </si>
  <si>
    <t>限选1</t>
  </si>
  <si>
    <t>限选2</t>
  </si>
  <si>
    <t>限选3</t>
  </si>
  <si>
    <t>限选4</t>
  </si>
  <si>
    <t>选修
课程数</t>
  </si>
  <si>
    <t>飞行器设计</t>
  </si>
  <si>
    <t>飞行器制造</t>
  </si>
  <si>
    <t>制造自动化与管理</t>
  </si>
  <si>
    <t>专业能力课程平台 - 综合实践环节   数据定义</t>
  </si>
  <si>
    <t>专业能力课程平台- 选修学分</t>
  </si>
  <si>
    <t>总学时</t>
  </si>
  <si>
    <t>理论学时</t>
  </si>
  <si>
    <t>实验学时</t>
  </si>
  <si>
    <t>专业能力模块 选修合计 ----统计用</t>
  </si>
  <si>
    <t>课程平台</t>
  </si>
  <si>
    <t>通识教育课程平台</t>
  </si>
  <si>
    <t>专业大类课程模块</t>
  </si>
  <si>
    <t>专业能力课程平台</t>
  </si>
  <si>
    <t>课程性质</t>
  </si>
  <si>
    <t>考核方式</t>
  </si>
  <si>
    <t>思政类</t>
  </si>
  <si>
    <t>必修</t>
  </si>
  <si>
    <t>考试</t>
  </si>
  <si>
    <t>外语类</t>
  </si>
  <si>
    <t>选修</t>
  </si>
  <si>
    <t>考查</t>
  </si>
  <si>
    <t>军体类</t>
  </si>
  <si>
    <t>限选</t>
  </si>
  <si>
    <t>计算机类</t>
  </si>
  <si>
    <t>创新创业类</t>
  </si>
  <si>
    <t>综合实践环节</t>
  </si>
  <si>
    <t>劳动教育类</t>
  </si>
  <si>
    <t>美育类</t>
  </si>
  <si>
    <t>其他类</t>
  </si>
  <si>
    <t>素质拓展类</t>
  </si>
  <si>
    <t>通识选修课程</t>
  </si>
  <si>
    <t>合并串</t>
  </si>
  <si>
    <t>课程序号</t>
  </si>
  <si>
    <t>课程模块</t>
  </si>
  <si>
    <t>三级类别</t>
  </si>
  <si>
    <t>课程代码</t>
  </si>
  <si>
    <t>课程中文名称</t>
  </si>
  <si>
    <t>课程英文名称</t>
  </si>
  <si>
    <t>课程
性质</t>
  </si>
  <si>
    <t>修读学期</t>
  </si>
  <si>
    <t>周学时</t>
  </si>
  <si>
    <t>053017P1</t>
  </si>
  <si>
    <t>中国近现代史纲要</t>
  </si>
  <si>
    <t>Outline of Modern Chinese History</t>
  </si>
  <si>
    <t>053011R1</t>
  </si>
  <si>
    <t>思想道德与法治</t>
  </si>
  <si>
    <t>Ideology Morality and Law</t>
  </si>
  <si>
    <t>思想道德与法治实践</t>
  </si>
  <si>
    <t>Ideology Morality and Law Practice</t>
  </si>
  <si>
    <t>+1</t>
  </si>
  <si>
    <t>053010R1</t>
  </si>
  <si>
    <t>马克思主义基本原理</t>
  </si>
  <si>
    <t>The Principle of Marx Doctrine</t>
  </si>
  <si>
    <t>053008R1</t>
  </si>
  <si>
    <t>毛泽东思想和中国特色社会主义理论体系概论</t>
  </si>
  <si>
    <t>Mao Zedong Thought and Theoretical Stystem of Chinese Socialism</t>
  </si>
  <si>
    <t>毛泽东思想和中国特色社会主义理论体系概论实践</t>
  </si>
  <si>
    <t>Mao Zedong Thought and Theoretical Stystem of Chinese Practice</t>
  </si>
  <si>
    <t>053111P1</t>
  </si>
  <si>
    <t>形势与政策（1）</t>
  </si>
  <si>
    <t>Situation and Policy(I)</t>
  </si>
  <si>
    <t>053111P2</t>
  </si>
  <si>
    <t>形势与政策（2）</t>
  </si>
  <si>
    <t>Situation and Policy(II)</t>
  </si>
  <si>
    <t>053111P3</t>
  </si>
  <si>
    <t>形势与政策（3）</t>
  </si>
  <si>
    <t>Situation and Policy(III)</t>
  </si>
  <si>
    <t>053111P4</t>
  </si>
  <si>
    <t>形势与政策（4）</t>
  </si>
  <si>
    <t>Situation and Policy(IV)</t>
  </si>
  <si>
    <t>053111P5</t>
  </si>
  <si>
    <t>形势与政策（5）</t>
  </si>
  <si>
    <t>Situation and Policy(V)</t>
  </si>
  <si>
    <t>053111P6</t>
  </si>
  <si>
    <t>形势与政策（6）</t>
  </si>
  <si>
    <t>Situation and Policy(VI)</t>
  </si>
  <si>
    <t>053111P7</t>
  </si>
  <si>
    <t>形势与政策（7）</t>
  </si>
  <si>
    <t>Situation and Policy(VII)</t>
  </si>
  <si>
    <t>053111P8</t>
  </si>
  <si>
    <t>形势与政策（8）</t>
  </si>
  <si>
    <t>Situation and Policy(VIII)</t>
  </si>
  <si>
    <t>见“四史”课程一览表</t>
  </si>
  <si>
    <t>“四史”课程</t>
  </si>
  <si>
    <t>Histories of the Communist Party of China，People's Republic of China，the Reform and Opening-up，and the Socialist  Development</t>
  </si>
  <si>
    <t>063001A1</t>
  </si>
  <si>
    <t>大学英语（1）</t>
  </si>
  <si>
    <t>College English(I)</t>
  </si>
  <si>
    <t>063002Q1</t>
  </si>
  <si>
    <t>大学英语听说（1）</t>
  </si>
  <si>
    <t>College English Listening and Speaking(I)</t>
  </si>
  <si>
    <t>063001A2</t>
  </si>
  <si>
    <t>大学英语（2）</t>
  </si>
  <si>
    <t>College English(Ⅱ)</t>
  </si>
  <si>
    <t>063002Q2</t>
  </si>
  <si>
    <t>大学英语听说（2）</t>
  </si>
  <si>
    <t>College English Listening and Speaking(Ⅱ)</t>
  </si>
  <si>
    <t>见大学英语限选课程一览表</t>
  </si>
  <si>
    <t>大学英语限选课程</t>
  </si>
  <si>
    <t>Distributional ELectives of Colloge English</t>
  </si>
  <si>
    <t>课程组</t>
  </si>
  <si>
    <t>体育（1）</t>
  </si>
  <si>
    <t>Physical Education(I)</t>
  </si>
  <si>
    <t>体育（2）</t>
  </si>
  <si>
    <t>Physical Education(II)</t>
  </si>
  <si>
    <t>体育（3）</t>
  </si>
  <si>
    <t>Physical Education(III)</t>
  </si>
  <si>
    <t>体育（4）</t>
  </si>
  <si>
    <t>Physical Education(IV)</t>
  </si>
  <si>
    <t>903005P1</t>
  </si>
  <si>
    <t>军事理论</t>
  </si>
  <si>
    <t>Military Theory</t>
  </si>
  <si>
    <t>903006P1</t>
  </si>
  <si>
    <t>军事技能</t>
  </si>
  <si>
    <t>Military Skills</t>
  </si>
  <si>
    <t>+2</t>
  </si>
  <si>
    <t>033466A1</t>
  </si>
  <si>
    <t>大学信息技术</t>
  </si>
  <si>
    <t>College Information Technology</t>
  </si>
  <si>
    <t>023347P3</t>
  </si>
  <si>
    <t>创新创业教育</t>
  </si>
  <si>
    <t>Innovation and Entrepreneurship</t>
  </si>
  <si>
    <t>593001F1</t>
  </si>
  <si>
    <t>创新创业教育实践</t>
  </si>
  <si>
    <t>Innovation and Entrepreneurship Practice</t>
  </si>
  <si>
    <t>053016R1</t>
  </si>
  <si>
    <t>劳动教育</t>
  </si>
  <si>
    <t>Labor Education</t>
  </si>
  <si>
    <t>903007P1</t>
  </si>
  <si>
    <t>劳动教育实践</t>
  </si>
  <si>
    <t>Labor Education Practice</t>
  </si>
  <si>
    <t>见美育课程一览表</t>
  </si>
  <si>
    <t>美育课程</t>
  </si>
  <si>
    <t>Aesthetic Education Course</t>
  </si>
  <si>
    <t>903002Q1</t>
  </si>
  <si>
    <t>大学生职业规划</t>
  </si>
  <si>
    <t>Career Planning</t>
  </si>
  <si>
    <t>903002Q2</t>
  </si>
  <si>
    <t>大学生就业指导</t>
  </si>
  <si>
    <t>Employment Guidance</t>
  </si>
  <si>
    <t>902004P1</t>
  </si>
  <si>
    <t>大学生心理与保健</t>
  </si>
  <si>
    <t>Mental Health Consultation</t>
  </si>
  <si>
    <t>903008P1</t>
  </si>
  <si>
    <t>素质拓展</t>
  </si>
  <si>
    <t>人文素养类</t>
  </si>
  <si>
    <t>Humanities</t>
  </si>
  <si>
    <t>社会经济类</t>
  </si>
  <si>
    <t>Sociology and Economics</t>
  </si>
  <si>
    <t>工程技术类</t>
  </si>
  <si>
    <t>Engineering Technology</t>
  </si>
  <si>
    <t>023013A1</t>
  </si>
  <si>
    <t>机械制图（1）</t>
  </si>
  <si>
    <t>Mechanical Drawing(1)</t>
  </si>
  <si>
    <t>023013A4</t>
  </si>
  <si>
    <t>机械制图（2）</t>
  </si>
  <si>
    <t>Mechanical Drawing(2)</t>
  </si>
  <si>
    <t>023004B1</t>
  </si>
  <si>
    <t>机械原理</t>
  </si>
  <si>
    <t>Mechanisms and Machine Theory</t>
  </si>
  <si>
    <t>023003A1</t>
  </si>
  <si>
    <t>机械设计</t>
  </si>
  <si>
    <t>Machine Design</t>
  </si>
  <si>
    <t>023141P1</t>
  </si>
  <si>
    <t>Fundamentals of Thermodynamics and Heat Transfer</t>
  </si>
  <si>
    <t>023440A1</t>
  </si>
  <si>
    <t>Fluid Mechanics and Hydraulic &amp; Pneumatic Transmission</t>
  </si>
  <si>
    <t>Aircraft Structure and Principle</t>
  </si>
  <si>
    <t>专业导论</t>
  </si>
  <si>
    <t>Introduction to Professional</t>
  </si>
  <si>
    <t>023005A2</t>
  </si>
  <si>
    <t>理论力学</t>
  </si>
  <si>
    <t>Theoretical Mechanics</t>
  </si>
  <si>
    <t>023001A2</t>
  </si>
  <si>
    <t>材料力学</t>
  </si>
  <si>
    <t>Mechanics of Materials</t>
  </si>
  <si>
    <t>023455P1</t>
  </si>
  <si>
    <t>Engineering Materials and Heat Treatment</t>
  </si>
  <si>
    <t>Theory and Technology of Aircraft Digital Manufacturing</t>
  </si>
  <si>
    <t>复合材料成型原理与工艺</t>
  </si>
  <si>
    <t>Forming Principle and Process of Composite Material</t>
  </si>
  <si>
    <t>013016B1</t>
  </si>
  <si>
    <t>电工电子技术</t>
  </si>
  <si>
    <t>Electrical and Electronic Technology</t>
  </si>
  <si>
    <t>023002P1</t>
  </si>
  <si>
    <t>互换性与技术测量</t>
  </si>
  <si>
    <t>Interchangeability and Measurement Technology</t>
  </si>
  <si>
    <t>023167P2</t>
  </si>
  <si>
    <t>控制工程基础</t>
  </si>
  <si>
    <t>Fundamentals of Control Engineering</t>
  </si>
  <si>
    <t>023006A3</t>
  </si>
  <si>
    <t>传感与检测技术</t>
  </si>
  <si>
    <t>Sensing and Detection Technology</t>
  </si>
  <si>
    <t xml:space="preserve">023176P5 </t>
  </si>
  <si>
    <t>项目管理与经济分析</t>
  </si>
  <si>
    <t>Project Management and Economic Analysis</t>
  </si>
  <si>
    <t>033032G1</t>
  </si>
  <si>
    <t>飞行器加工质量控制</t>
  </si>
  <si>
    <t>Aircraft Processing Quality Control</t>
  </si>
  <si>
    <t>023032P1</t>
  </si>
  <si>
    <t>工业机器人</t>
  </si>
  <si>
    <t>Industrial Robot</t>
  </si>
  <si>
    <t>533089A1</t>
  </si>
  <si>
    <t>高等数学A（1）</t>
  </si>
  <si>
    <t>Advanced Mathematics A(1)</t>
  </si>
  <si>
    <t>533089A2</t>
  </si>
  <si>
    <t>高等数学A（2）</t>
  </si>
  <si>
    <t>533091B1</t>
  </si>
  <si>
    <t>线性代数B</t>
  </si>
  <si>
    <t>Linear Algebra B</t>
  </si>
  <si>
    <t>533047B1</t>
  </si>
  <si>
    <t>概率论与数理统计B</t>
  </si>
  <si>
    <t>Probability Theory and Mathematical Statistics B</t>
  </si>
  <si>
    <t>533008G1</t>
  </si>
  <si>
    <t>大学物理B（1）</t>
  </si>
  <si>
    <t>College Physics B（1）</t>
  </si>
  <si>
    <t>533008G2</t>
  </si>
  <si>
    <t>大学物理B（2）</t>
  </si>
  <si>
    <t>College Physics B（2）</t>
  </si>
  <si>
    <t>533009B1</t>
  </si>
  <si>
    <t>大学物理实验B（1）</t>
  </si>
  <si>
    <t>College Physics Experiment B(1)</t>
  </si>
  <si>
    <t>大学物理实验B（2）</t>
  </si>
  <si>
    <t>College Physics Experiment B(2)</t>
  </si>
  <si>
    <t>023243P1</t>
  </si>
  <si>
    <t>Mechanical Drawing</t>
  </si>
  <si>
    <t>认识实习</t>
  </si>
  <si>
    <t>Cognition Practice</t>
  </si>
  <si>
    <t>593001X1</t>
  </si>
  <si>
    <t>工科基本训练（钳工）</t>
  </si>
  <si>
    <t>Engineering  BasicTraining(Turning and Benching)</t>
  </si>
  <si>
    <t>593001X3</t>
  </si>
  <si>
    <t>工科基本训练（数控加工）</t>
  </si>
  <si>
    <t>Engineering Basic Training(NC Machining)</t>
  </si>
  <si>
    <t>Training of 3D Modeling &amp; Simulation</t>
  </si>
  <si>
    <t>593002R2</t>
  </si>
  <si>
    <t>工科基本训练（电气控制）</t>
  </si>
  <si>
    <t>Engineering Basic Training(Electrical Control)</t>
  </si>
  <si>
    <t>023010Q1</t>
  </si>
  <si>
    <t>机械设计课程设计</t>
  </si>
  <si>
    <t>Coursework of Mechanical Design</t>
  </si>
  <si>
    <t>工科基本训练（精加工及数控特种加工）</t>
  </si>
  <si>
    <t>Engineering Basic Trainin (Finish Machining and NC Special Machining)</t>
  </si>
  <si>
    <t>飞行器制造工艺课程设计</t>
  </si>
  <si>
    <t>+3</t>
  </si>
  <si>
    <t>023094P1</t>
  </si>
  <si>
    <t>机械制造项目综合实践</t>
  </si>
  <si>
    <t>Comprehensive Training of Mechanical Manufacture</t>
  </si>
  <si>
    <t>023067P1</t>
  </si>
  <si>
    <t>生产实习</t>
  </si>
  <si>
    <t>Production Practice</t>
  </si>
  <si>
    <t>023065P3</t>
  </si>
  <si>
    <t>毕业设计</t>
  </si>
  <si>
    <t>Graduation Design</t>
  </si>
  <si>
    <t>+15</t>
  </si>
  <si>
    <t>机械原理课程设计</t>
  </si>
  <si>
    <t>Coursework of Mechanisms</t>
  </si>
  <si>
    <t>航空航天概论</t>
  </si>
  <si>
    <t>Introduction to Aerospace</t>
  </si>
  <si>
    <t>单片机原理与接口技术</t>
  </si>
  <si>
    <t>MCU Principle and Interface Technology</t>
  </si>
  <si>
    <t>飞机装配原理与工艺</t>
  </si>
  <si>
    <t>课程学分学时分布表（附件1）</t>
  </si>
  <si>
    <t>表1：课程教学学分学时分布</t>
  </si>
  <si>
    <t>占比</t>
  </si>
  <si>
    <t>通识教育
课程平台</t>
  </si>
  <si>
    <t>必修课程</t>
  </si>
  <si>
    <t>选修课程</t>
  </si>
  <si>
    <t>通识选修类</t>
  </si>
  <si>
    <t>素质拓展课程</t>
  </si>
  <si>
    <t>小计</t>
  </si>
  <si>
    <t>选修（含限选）课程</t>
  </si>
  <si>
    <t>表2：实验实践教学学分学时分布</t>
  </si>
  <si>
    <t>类别</t>
  </si>
  <si>
    <t>理论教学</t>
  </si>
  <si>
    <t>实验和
实践教学</t>
  </si>
  <si>
    <t>实践教学</t>
  </si>
  <si>
    <t>实验教学
（含课内实验）</t>
  </si>
  <si>
    <t>表3：课程学分与工程教育认证标准对比（工科专业填写）</t>
  </si>
  <si>
    <t>工程教育认证标准课程类别</t>
  </si>
  <si>
    <t>占总学分比例（%）</t>
  </si>
  <si>
    <t>工程教育认证通用标准（%）</t>
  </si>
  <si>
    <t>≥15%</t>
  </si>
  <si>
    <t>工程及专业相关</t>
  </si>
  <si>
    <t>≥30%</t>
  </si>
  <si>
    <t>专业类</t>
  </si>
  <si>
    <t>工程实践及毕业设计</t>
  </si>
  <si>
    <t>≥20%</t>
  </si>
  <si>
    <t>人文社会科学类通识教育课程</t>
  </si>
  <si>
    <t>课程设置与教学进程表（附件2）</t>
  </si>
  <si>
    <t>序号</t>
  </si>
  <si>
    <t>课程名称</t>
  </si>
  <si>
    <t>各学期周学时分配</t>
  </si>
  <si>
    <t>实验教学</t>
  </si>
  <si>
    <t>思政类  共计</t>
  </si>
  <si>
    <t>外语类  共计</t>
  </si>
  <si>
    <t>见体育课程一览表</t>
  </si>
  <si>
    <t>军体类  共计</t>
  </si>
  <si>
    <t>计算机类  共计</t>
  </si>
  <si>
    <t>创新创业类  共计</t>
  </si>
  <si>
    <t>劳动教育类  共计</t>
  </si>
  <si>
    <t>美育类  共计</t>
  </si>
  <si>
    <t>其他类  共计</t>
  </si>
  <si>
    <t>素质拓展类  共计</t>
  </si>
  <si>
    <t>见通识课程一览表</t>
  </si>
  <si>
    <t>通识选修课程  共计</t>
  </si>
  <si>
    <t>通识教育课程平台  合计</t>
  </si>
  <si>
    <t>专业能力课程平台_专业大类课程模块_数学与自然科学类_1</t>
  </si>
  <si>
    <t>专业能力课程平台_专业大类课程模块_数学与自然科学类_2</t>
  </si>
  <si>
    <t>专业能力课程平台_专业大类课程模块_数学与自然科学类_3</t>
  </si>
  <si>
    <t>专业能力课程平台_专业大类课程模块_数学与自然科学类_4</t>
  </si>
  <si>
    <t>专业能力课程平台_专业大类课程模块_数学与自然科学类_5</t>
  </si>
  <si>
    <t>专业能力课程平台_专业大类课程模块_数学与自然科学类_6</t>
  </si>
  <si>
    <t>专业能力课程平台_专业大类课程模块_数学与自然科学类_7</t>
  </si>
  <si>
    <t>专业能力课程平台_专业大类课程模块_数学与自然科学类_8</t>
  </si>
  <si>
    <t>专业能力课程平台_专业大类课程模块_数学与自然科学类_9</t>
  </si>
  <si>
    <t>专业能力课程平台_专业大类课程模块_数学与自然科学类_10</t>
  </si>
  <si>
    <t>专业能力课程平台_专业大类课程模块_工程基础类_1</t>
  </si>
  <si>
    <t>专业能力课程平台_专业大类课程模块_工程基础类_2</t>
  </si>
  <si>
    <t>专业能力课程平台_专业大类课程模块_工程基础类_3</t>
  </si>
  <si>
    <t>专业能力课程平台_专业大类课程模块_专业基础类_1</t>
  </si>
  <si>
    <t>专业能力课程平台_专业大类课程模块_专业基础类_2</t>
  </si>
  <si>
    <t>专业能力课程平台_专业大类课程模块_专业基础类_3</t>
  </si>
  <si>
    <t>专业能力课程平台_专业大类课程模块_专业基础类_4</t>
  </si>
  <si>
    <t>专业能力课程平台_专业大类课程模块_专业基础类_5</t>
  </si>
  <si>
    <t>专业能力课程平台_专业大类课程模块_专业基础类_6</t>
  </si>
  <si>
    <t>专业大类课程模块 共计</t>
  </si>
  <si>
    <t>专业能力课程平台_飞行器设计_必修_1</t>
  </si>
  <si>
    <t>专业能力课程平台_飞行器设计_必修_2</t>
  </si>
  <si>
    <t>专业能力课程平台_飞行器设计_必修_3</t>
  </si>
  <si>
    <t>必修  小计</t>
  </si>
  <si>
    <t>专业能力课程平台_飞行器设计_选修_1</t>
  </si>
  <si>
    <t>专业能力课程平台_飞行器设计_选修_2</t>
  </si>
  <si>
    <t>专业能力课程平台_飞行器设计_选修_3</t>
  </si>
  <si>
    <t>专业能力课程平台_飞行器制造_必修_1</t>
  </si>
  <si>
    <t>专业能力课程平台_飞行器制造_必修_2</t>
  </si>
  <si>
    <t>专业能力课程平台_飞行器制造_必修_3</t>
  </si>
  <si>
    <t>专业能力课程平台_飞行器制造_必修_4</t>
  </si>
  <si>
    <t>专业能力课程平台_飞行器制造_必修_5</t>
  </si>
  <si>
    <t>专业能力课程平台_飞行器制造_必修_6</t>
  </si>
  <si>
    <t>专业能力课程平台_飞行器制造_必修_7</t>
  </si>
  <si>
    <t>专业能力课程平台_飞行器制造_选修_1</t>
  </si>
  <si>
    <t>专业能力课程平台_飞行器制造_选修_2</t>
  </si>
  <si>
    <t>飞行器制造  共计</t>
  </si>
  <si>
    <t>专业能力课程平台_制造自动化与管理_必修_1</t>
  </si>
  <si>
    <t>专业能力课程平台_制造自动化与管理_必修_2</t>
  </si>
  <si>
    <t>专业能力课程平台_制造自动化与管理_必修_3</t>
  </si>
  <si>
    <t>专业能力课程平台_制造自动化与管理_选修_1</t>
  </si>
  <si>
    <t>专业能力课程平台_制造自动化与管理_选修_2</t>
  </si>
  <si>
    <t>专业能力课程平台_制造自动化与管理_选修_3</t>
  </si>
  <si>
    <t>制造自动化与管理  共计</t>
  </si>
  <si>
    <t>专业能力课程平台_综合实践环节_1</t>
  </si>
  <si>
    <t>专业能力课程平台_综合实践环节_2</t>
  </si>
  <si>
    <t>专业能力课程平台_综合实践环节_3</t>
  </si>
  <si>
    <t>专业能力课程平台_综合实践环节_4</t>
  </si>
  <si>
    <t>专业能力课程平台_综合实践环节_5</t>
  </si>
  <si>
    <t>专业能力课程平台_综合实践环节_6</t>
  </si>
  <si>
    <t>专业能力课程平台_综合实践环节_7</t>
  </si>
  <si>
    <t>专业能力课程平台_综合实践环节_8</t>
  </si>
  <si>
    <t>专业能力课程平台_综合实践环节_9</t>
  </si>
  <si>
    <t>专业能力课程平台_综合实践环节_10</t>
  </si>
  <si>
    <t>专业能力课程平台_综合实践环节_11</t>
  </si>
  <si>
    <t>专业能力课程平台_综合实践环节_12</t>
  </si>
  <si>
    <t>专业能力课程平台_综合实践环节_13</t>
  </si>
  <si>
    <t>专业能力课程平台_综合实践环节_14</t>
  </si>
  <si>
    <t>综合实践环节  共计</t>
  </si>
  <si>
    <t>专业能力课程平台 选修课程 合计</t>
  </si>
  <si>
    <t>专业能力课程平台  合计</t>
  </si>
  <si>
    <t>总计</t>
  </si>
  <si>
    <t>校企共建产教融合型专业能力课程（附件4）</t>
  </si>
  <si>
    <t>课程编号</t>
  </si>
  <si>
    <t>备注</t>
  </si>
  <si>
    <t>学校授课  学时</t>
  </si>
  <si>
    <t>企业授课  学时</t>
  </si>
  <si>
    <t>春秋航空股份有限公司</t>
  </si>
  <si>
    <t>上海飞机制造有限公司</t>
  </si>
  <si>
    <t>023176P5</t>
  </si>
  <si>
    <t>上海飞机设计研究院</t>
  </si>
  <si>
    <t>上海电气集团</t>
  </si>
  <si>
    <t>数值分析方法与工程应用</t>
    <phoneticPr fontId="30" type="noConversion"/>
  </si>
  <si>
    <t>023014Q1</t>
    <phoneticPr fontId="30" type="noConversion"/>
  </si>
  <si>
    <t>机械制图测绘</t>
    <phoneticPr fontId="30" type="noConversion"/>
  </si>
  <si>
    <t>533009B2</t>
    <phoneticPr fontId="30" type="noConversion"/>
  </si>
  <si>
    <t>numerical analysis method and engineering application</t>
    <phoneticPr fontId="30" type="noConversion"/>
  </si>
  <si>
    <t>专业能力_x000D_
课程平台</t>
    <phoneticPr fontId="30" type="noConversion"/>
  </si>
  <si>
    <t>机械制造技术</t>
    <phoneticPr fontId="30" type="noConversion"/>
  </si>
  <si>
    <t>CATIA基础及工程应用</t>
    <phoneticPr fontId="30" type="noConversion"/>
  </si>
  <si>
    <t>Mechanical Manufacturing Technology</t>
    <phoneticPr fontId="30" type="noConversion"/>
  </si>
  <si>
    <t>CATIA Fundamentals and Engineering Applications</t>
    <phoneticPr fontId="30" type="noConversion"/>
  </si>
  <si>
    <t>飞行器制造基础  共计</t>
    <phoneticPr fontId="30" type="noConversion"/>
  </si>
  <si>
    <t>飞行器零件加工与成型工艺</t>
    <phoneticPr fontId="30" type="noConversion"/>
  </si>
  <si>
    <t>必修</t>
    <phoneticPr fontId="30" type="noConversion"/>
  </si>
  <si>
    <t>Aircraft Assembly process</t>
    <phoneticPr fontId="30" type="noConversion"/>
  </si>
  <si>
    <t>飞机装配工艺课程设计</t>
    <phoneticPr fontId="30" type="noConversion"/>
  </si>
  <si>
    <t>钣金成型技术课程设计</t>
    <phoneticPr fontId="30" type="noConversion"/>
  </si>
  <si>
    <t>复合材料成型综合实验</t>
    <phoneticPr fontId="30" type="noConversion"/>
  </si>
  <si>
    <t>Course Design of Sheet Metal Forming Technology</t>
    <phoneticPr fontId="30" type="noConversion"/>
  </si>
  <si>
    <t>Comprehensive Experiment on Composite Material Forming</t>
    <phoneticPr fontId="30" type="noConversion"/>
  </si>
  <si>
    <t>数字化制造技术</t>
  </si>
  <si>
    <t>Digital Manufacturing Technology</t>
    <phoneticPr fontId="30" type="noConversion"/>
  </si>
  <si>
    <t>机械制造基础</t>
    <phoneticPr fontId="30" type="noConversion"/>
  </si>
  <si>
    <t xml:space="preserve">   （1）课程学分学时分布表（附件 1）
   （2）课程设置与教学进程（附件 2）</t>
    <phoneticPr fontId="30" type="noConversion"/>
  </si>
  <si>
    <t>四、主干学科</t>
    <phoneticPr fontId="30" type="noConversion"/>
  </si>
  <si>
    <t>五、核心课程及主要实践教学环节</t>
    <phoneticPr fontId="30" type="noConversion"/>
  </si>
  <si>
    <t>六、课程学分学时分布表</t>
    <phoneticPr fontId="30" type="noConversion"/>
  </si>
  <si>
    <t>七、课程地图</t>
    <phoneticPr fontId="30" type="noConversion"/>
  </si>
  <si>
    <t xml:space="preserve">     课程地图（附件 3）</t>
    <phoneticPr fontId="30" type="noConversion"/>
  </si>
  <si>
    <t xml:space="preserve">    主要实践教学环节：机械原理课程设计、机械设计课程设计、飞机装配工艺课程设计、复合材料成型综合实验、机械制造项目综合实践、生产实习、毕业设计</t>
    <phoneticPr fontId="30" type="noConversion"/>
  </si>
  <si>
    <t>飞行器设计</t>
    <phoneticPr fontId="30" type="noConversion"/>
  </si>
  <si>
    <t>专业能力课程平台</t>
    <phoneticPr fontId="30" type="noConversion"/>
  </si>
  <si>
    <t>飞机钣金成型技术</t>
    <phoneticPr fontId="30" type="noConversion"/>
  </si>
  <si>
    <t>必修</t>
    <phoneticPr fontId="30" type="noConversion"/>
  </si>
  <si>
    <t>Aircraft Sheet Metal Forming Technology</t>
    <phoneticPr fontId="30" type="noConversion"/>
  </si>
  <si>
    <t>023115P1</t>
    <phoneticPr fontId="30" type="noConversion"/>
  </si>
  <si>
    <t>023104B1</t>
    <phoneticPr fontId="30" type="noConversion"/>
  </si>
  <si>
    <t>数控技术</t>
    <phoneticPr fontId="30" type="noConversion"/>
  </si>
  <si>
    <t>Numerical Control</t>
    <phoneticPr fontId="30" type="noConversion"/>
  </si>
  <si>
    <t>飞行器特种加工</t>
    <phoneticPr fontId="30" type="noConversion"/>
  </si>
  <si>
    <t>Aircraft Special Processing</t>
    <phoneticPr fontId="30" type="noConversion"/>
  </si>
  <si>
    <t xml:space="preserve">    本专业培养德、智、体、美全面发展，具有良好的科学、文化和工程素养，具备相关理论基础知识，具有一定的技术创新精神和能力，掌握航空制造技术，能在航空制造领域从事工艺制定、零部件加工、装配、工装设备开发等方面工作的高素质应用型工程技术人才。</t>
    <phoneticPr fontId="30" type="noConversion"/>
  </si>
  <si>
    <t xml:space="preserve">    本专业秉承学校“技术立校、应用为本”的办学方略，立足上海自贸区临港新片区服务长三角区域经济发展，以航空航天高端装备制造领域的飞行器设计、飞行器制造、飞行器维修维护等为特色工程技术背景，培养德智体美劳全面发展的社会主义建设者和接班人，掌握飞行器制造技术应用所需的基础知识和基本技能，具有良好的学习能力、实践能力、创新能力、团队合作能力和国际视野，能在相关领域解决飞行器钣金工艺、飞行器装配、飞行器复合材料的技术研究、系统集成开发、设备调试与维护、工艺与工程管理和技术服务等工程问题的应用型工程技术人才。    
    学生毕业后五年后达到的目标如下：
    目标1：掌握解决飞行器设计制造领域的复杂工程问题所需的数学、自然科学、工程基础和专业知识，运用科学原理思考问题，采用科学方法进行研究，包括设计实验、分析与解释数据、得到合理有效的结论，能够将专业知识灵活运用于解决复杂工程问题。
    目标2：考虑社会、法律、环境等多种非技术因素，能够从事飞行器系统、零部件与工艺过程的研究与开发，飞行器装备的安装调试与维护，设备及仪器仪表的生产工艺管理与技术服务等工作。
    目标3：“思想养正、文化育德”，培养学生良好的思政综合素养，具有良好的大局观、社会责任感和职业道德规范，能够进行有效的交流沟通和团队协作。
    目标4：具有自主学习和终身学习的意识，具有较强创新素养和创新实践能力，能够在飞行器工程领域实现可持续发展。</t>
    <phoneticPr fontId="30" type="noConversion"/>
  </si>
  <si>
    <t>593002R1</t>
  </si>
  <si>
    <t>工科基本训练（电子焊装）</t>
  </si>
  <si>
    <t>Engineering Basic Training(Electronic Soldering)</t>
  </si>
  <si>
    <t>593001X4</t>
    <phoneticPr fontId="30" type="noConversion"/>
  </si>
  <si>
    <t>工科基本训练（电子焊装）
Engineering Basic Training(Electronic Soldering)</t>
  </si>
  <si>
    <t/>
  </si>
  <si>
    <t>飞行器制造工艺课程设计</t>
    <phoneticPr fontId="30" type="noConversion"/>
  </si>
  <si>
    <t>Aircraft Manufacturing Process Course Design</t>
  </si>
  <si>
    <t>023004R1</t>
    <phoneticPr fontId="30" type="noConversion"/>
  </si>
  <si>
    <t>593002R1</t>
    <phoneticPr fontId="30" type="noConversion"/>
  </si>
  <si>
    <t>飞行器制造工艺课程设计
Aircraft Manufacturing Process Course Design</t>
    <phoneticPr fontId="30" type="noConversion"/>
  </si>
  <si>
    <t>高级语言程序设计基础实验</t>
    <phoneticPr fontId="30" type="noConversion"/>
  </si>
  <si>
    <t>033032H1</t>
    <phoneticPr fontId="30" type="noConversion"/>
  </si>
  <si>
    <t>Fundamentals of Advanced Language Programming Experiment</t>
    <phoneticPr fontId="30" type="noConversion"/>
  </si>
  <si>
    <t>高级语言程序设计基础</t>
    <phoneticPr fontId="30" type="noConversion"/>
  </si>
  <si>
    <t>Fundamentals of Advanced Language</t>
    <phoneticPr fontId="30" type="noConversion"/>
  </si>
  <si>
    <t>023243P1</t>
    <phoneticPr fontId="30" type="noConversion"/>
  </si>
  <si>
    <t>Advanced Mathematics A(2)</t>
    <phoneticPr fontId="30" type="noConversion"/>
  </si>
  <si>
    <t xml:space="preserve">     学分： 毕业最低学分要求为170学分</t>
    <phoneticPr fontId="30" type="noConversion"/>
  </si>
  <si>
    <r>
      <t>制定：</t>
    </r>
    <r>
      <rPr>
        <b/>
        <u/>
        <sz val="14"/>
        <rFont val="黑体"/>
        <family val="3"/>
        <charset val="134"/>
      </rPr>
      <t xml:space="preserve"> 辛绍杰  </t>
    </r>
    <r>
      <rPr>
        <b/>
        <sz val="14"/>
        <rFont val="黑体"/>
        <family val="3"/>
        <charset val="134"/>
      </rPr>
      <t>审核：</t>
    </r>
    <r>
      <rPr>
        <b/>
        <u/>
        <sz val="14"/>
        <rFont val="黑体"/>
        <family val="3"/>
        <charset val="134"/>
      </rPr>
      <t xml:space="preserve">  赵爽   </t>
    </r>
    <r>
      <rPr>
        <b/>
        <sz val="14"/>
        <rFont val="黑体"/>
        <family val="3"/>
        <charset val="134"/>
      </rPr>
      <t>审批：__</t>
    </r>
    <r>
      <rPr>
        <b/>
        <u/>
        <sz val="14"/>
        <rFont val="黑体"/>
        <family val="3"/>
        <charset val="134"/>
      </rPr>
      <t>杨万枫___</t>
    </r>
    <phoneticPr fontId="30" type="noConversion"/>
  </si>
  <si>
    <t>飞机装配工艺学</t>
    <phoneticPr fontId="30" type="noConversion"/>
  </si>
  <si>
    <t>飞机结构与维修</t>
    <phoneticPr fontId="30" type="noConversion"/>
  </si>
  <si>
    <t xml:space="preserve">    核心课程：机械制图、理论力学、材料力学、机械原理、机械设计、工程材料及热处理、电工电子技术、互换性与测量技术、控制工程基础、航空航天概论、飞机结构与维修、飞机装配工艺学、飞机钣金成型技术、飞行器零件加工与成型工艺、复合材料成型原理与工艺、数控技术</t>
    <phoneticPr fontId="30" type="noConversion"/>
  </si>
  <si>
    <t>工程材料及热处理</t>
    <phoneticPr fontId="30" type="noConversion"/>
  </si>
  <si>
    <t>流体力学与液压气压传动</t>
    <phoneticPr fontId="30" type="noConversion"/>
  </si>
  <si>
    <t>工程热力学与传热学基础</t>
    <phoneticPr fontId="30" type="noConversion"/>
  </si>
  <si>
    <t>023106B1</t>
    <phoneticPr fontId="3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</si>
</sst>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5" x14ac:knownFonts="1">
    <font>
      <sz val="11"/>
      <color theme="1"/>
      <name val="等线"/>
      <charset val="134"/>
      <scheme val="minor"/>
    </font>
    <font>
      <sz val="11"/>
      <color indexed="8"/>
      <name val="宋体"/>
      <family val="3"/>
      <charset val="134"/>
    </font>
    <font>
      <sz val="12"/>
      <name val="宋体"/>
      <family val="3"/>
      <charset val="134"/>
    </font>
    <font>
      <sz val="10"/>
      <color theme="1"/>
      <name val="宋体"/>
      <family val="3"/>
      <charset val="134"/>
    </font>
    <font>
      <sz val="9"/>
      <color theme="1"/>
      <name val="宋体"/>
      <family val="3"/>
      <charset val="134"/>
    </font>
    <font>
      <b/>
      <sz val="14"/>
      <color theme="1"/>
      <name val="宋体"/>
      <family val="3"/>
      <charset val="134"/>
    </font>
    <font>
      <b/>
      <sz val="10"/>
      <color theme="1"/>
      <name val="宋体"/>
      <family val="3"/>
      <charset val="134"/>
    </font>
    <font>
      <sz val="10"/>
      <color theme="1"/>
      <name val="Times New Roman"/>
      <family val="1"/>
    </font>
    <font>
      <sz val="14"/>
      <color theme="1"/>
      <name val="宋体"/>
      <family val="3"/>
      <charset val="134"/>
    </font>
    <font>
      <sz val="11"/>
      <color theme="1"/>
      <name val="宋体"/>
      <family val="3"/>
      <charset val="134"/>
    </font>
    <font>
      <b/>
      <sz val="9"/>
      <color theme="1"/>
      <name val="宋体"/>
      <family val="3"/>
      <charset val="134"/>
    </font>
    <font>
      <b/>
      <sz val="11"/>
      <color theme="1"/>
      <name val="等线"/>
      <family val="3"/>
      <charset val="134"/>
      <scheme val="minor"/>
    </font>
    <font>
      <b/>
      <sz val="11"/>
      <color theme="1"/>
      <name val="宋体"/>
      <family val="3"/>
      <charset val="134"/>
    </font>
    <font>
      <sz val="9"/>
      <color theme="1"/>
      <name val="微软雅黑"/>
      <family val="2"/>
      <charset val="134"/>
    </font>
    <font>
      <sz val="9"/>
      <color theme="0"/>
      <name val="微软雅黑"/>
      <family val="2"/>
      <charset val="134"/>
    </font>
    <font>
      <sz val="9"/>
      <color theme="1" tint="0.249977111117893"/>
      <name val="微软雅黑"/>
      <family val="2"/>
      <charset val="134"/>
    </font>
    <font>
      <sz val="9"/>
      <color indexed="8"/>
      <name val="微软雅黑"/>
      <family val="2"/>
      <charset val="134"/>
    </font>
    <font>
      <sz val="11"/>
      <color indexed="8"/>
      <name val="等线"/>
      <family val="3"/>
      <charset val="134"/>
    </font>
    <font>
      <b/>
      <sz val="9"/>
      <color theme="1" tint="0.34998626667073579"/>
      <name val="微软雅黑"/>
      <family val="2"/>
      <charset val="134"/>
    </font>
    <font>
      <b/>
      <sz val="9"/>
      <color theme="0"/>
      <name val="微软雅黑"/>
      <family val="2"/>
      <charset val="134"/>
    </font>
    <font>
      <sz val="9"/>
      <color theme="1" tint="0.499984740745262"/>
      <name val="微软雅黑"/>
      <family val="2"/>
      <charset val="134"/>
    </font>
    <font>
      <b/>
      <sz val="9"/>
      <color theme="1" tint="0.499984740745262"/>
      <name val="微软雅黑"/>
      <family val="2"/>
      <charset val="134"/>
    </font>
    <font>
      <b/>
      <sz val="14"/>
      <name val="黑体"/>
      <family val="3"/>
      <charset val="134"/>
    </font>
    <font>
      <sz val="12"/>
      <color theme="1"/>
      <name val="等线"/>
      <family val="3"/>
      <charset val="134"/>
      <scheme val="minor"/>
    </font>
    <font>
      <b/>
      <sz val="12"/>
      <name val="黑体"/>
      <family val="3"/>
      <charset val="134"/>
    </font>
    <font>
      <sz val="10.5"/>
      <name val="宋体"/>
      <family val="3"/>
      <charset val="134"/>
    </font>
    <font>
      <sz val="10.5"/>
      <color indexed="8"/>
      <name val="宋体"/>
      <family val="3"/>
      <charset val="134"/>
    </font>
    <font>
      <sz val="10.5"/>
      <color rgb="FF000000"/>
      <name val="宋体"/>
      <family val="3"/>
      <charset val="134"/>
    </font>
    <font>
      <sz val="11"/>
      <color theme="1"/>
      <name val="等线"/>
      <family val="3"/>
      <charset val="134"/>
      <scheme val="minor"/>
    </font>
    <font>
      <b/>
      <u/>
      <sz val="14"/>
      <name val="黑体"/>
      <family val="3"/>
      <charset val="134"/>
    </font>
    <font>
      <sz val="9"/>
      <name val="等线"/>
      <family val="3"/>
      <charset val="134"/>
      <scheme val="minor"/>
    </font>
    <font>
      <sz val="9"/>
      <color theme="1"/>
      <name val="宋体"/>
      <family val="3"/>
      <charset val="134"/>
    </font>
    <font>
      <sz val="11"/>
      <name val="宋体"/>
      <family val="3"/>
      <charset val="134"/>
    </font>
    <font>
      <b/>
      <sz val="9"/>
      <name val="宋体"/>
      <family val="3"/>
      <charset val="134"/>
    </font>
    <font>
      <sz val="9"/>
      <color theme="0"/>
      <name val="宋体"/>
      <family val="3"/>
      <charset val="134"/>
    </font>
  </fonts>
  <fills count="11">
    <fill>
      <patternFill patternType="none"/>
    </fill>
    <fill>
      <patternFill patternType="gray125"/>
    </fill>
    <fill>
      <patternFill patternType="solid">
        <fgColor theme="0"/>
        <bgColor indexed="64"/>
      </patternFill>
    </fill>
    <fill>
      <patternFill patternType="solid">
        <fgColor theme="0" tint="-0.14954069643238624"/>
        <bgColor indexed="64"/>
      </patternFill>
    </fill>
    <fill>
      <patternFill patternType="solid">
        <fgColor indexed="22"/>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5" tint="0.59999389629810485"/>
        <bgColor indexed="64"/>
      </patternFill>
    </fill>
    <fill>
      <patternFill patternType="solid">
        <fgColor rgb="FF5C8AC5"/>
        <bgColor indexed="64"/>
      </patternFill>
    </fill>
    <fill>
      <patternFill patternType="solid">
        <fgColor theme="1" tint="0.34998626667073579"/>
        <bgColor indexed="64"/>
      </patternFill>
    </fill>
    <fill>
      <patternFill patternType="solid">
        <fgColor theme="0" tint="-0.14999847407452621"/>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s>
  <cellStyleXfs count="9">
    <xf numFmtId="0" fontId="0" fillId="0" borderId="0"/>
    <xf numFmtId="9" fontId="28" fillId="0" borderId="0" applyFont="0" applyFill="0" applyBorder="0" applyAlignment="0" applyProtection="0">
      <alignment vertical="center"/>
    </xf>
    <xf numFmtId="0" fontId="28" fillId="0" borderId="0">
      <alignment vertical="center"/>
    </xf>
    <xf numFmtId="0" fontId="2" fillId="0" borderId="0"/>
    <xf numFmtId="0" fontId="2" fillId="0" borderId="0"/>
    <xf numFmtId="0" fontId="2" fillId="0" borderId="0"/>
    <xf numFmtId="0" fontId="2" fillId="0" borderId="0"/>
    <xf numFmtId="0" fontId="28" fillId="0" borderId="0">
      <alignment vertical="center"/>
    </xf>
    <xf numFmtId="0" fontId="23" fillId="0" borderId="0"/>
  </cellStyleXfs>
  <cellXfs count="205">
    <xf numFmtId="0" fontId="0" fillId="0" borderId="0" xfId="0"/>
    <xf numFmtId="0" fontId="1" fillId="0" borderId="0" xfId="0" applyFont="1" applyAlignment="1">
      <alignment vertical="center"/>
    </xf>
    <xf numFmtId="0" fontId="4" fillId="0" borderId="0" xfId="0" applyFont="1" applyAlignment="1">
      <alignment horizontal="left"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3" fillId="0" borderId="4" xfId="0" applyFont="1" applyBorder="1" applyAlignment="1">
      <alignment horizontal="center" vertical="center" wrapText="1"/>
    </xf>
    <xf numFmtId="0" fontId="4" fillId="0" borderId="0" xfId="0" applyFont="1" applyAlignment="1">
      <alignment vertical="center" textRotation="255"/>
    </xf>
    <xf numFmtId="0" fontId="4" fillId="0" borderId="0" xfId="0" applyFont="1" applyAlignment="1">
      <alignment horizontal="center" vertical="center"/>
    </xf>
    <xf numFmtId="0" fontId="4" fillId="0" borderId="0" xfId="0" applyFont="1" applyAlignment="1">
      <alignment vertical="center"/>
    </xf>
    <xf numFmtId="0" fontId="8" fillId="0" borderId="0" xfId="0" applyFont="1" applyAlignment="1">
      <alignment horizontal="centerContinuous" vertical="center"/>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lignment vertical="center" wrapText="1"/>
    </xf>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horizontal="left" vertical="center" wrapText="1"/>
    </xf>
    <xf numFmtId="0" fontId="10" fillId="0" borderId="2" xfId="0" applyFont="1" applyBorder="1" applyAlignment="1">
      <alignment horizontal="center" vertical="center"/>
    </xf>
    <xf numFmtId="0" fontId="10" fillId="2" borderId="4" xfId="0" applyFont="1" applyFill="1" applyBorder="1" applyAlignment="1">
      <alignment horizontal="center" vertical="center"/>
    </xf>
    <xf numFmtId="0" fontId="4" fillId="0" borderId="4" xfId="0" applyFont="1" applyBorder="1" applyAlignment="1">
      <alignment vertical="center"/>
    </xf>
    <xf numFmtId="0" fontId="4" fillId="2" borderId="10"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0" xfId="0" applyFont="1" applyAlignment="1">
      <alignment horizontal="centerContinuous" vertical="center"/>
    </xf>
    <xf numFmtId="0" fontId="10" fillId="0" borderId="4" xfId="0" applyFont="1" applyBorder="1" applyAlignment="1">
      <alignment vertical="center"/>
    </xf>
    <xf numFmtId="0" fontId="10" fillId="4" borderId="4" xfId="0" applyFont="1" applyFill="1" applyBorder="1" applyAlignment="1">
      <alignment horizontal="center" vertical="center"/>
    </xf>
    <xf numFmtId="0" fontId="10" fillId="0" borderId="10" xfId="0" applyFont="1" applyBorder="1" applyAlignment="1">
      <alignment horizontal="center" vertical="center"/>
    </xf>
    <xf numFmtId="0" fontId="10" fillId="4" borderId="2"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0" xfId="0" applyFont="1" applyAlignment="1">
      <alignment horizontal="center" vertical="center"/>
    </xf>
    <xf numFmtId="0" fontId="3" fillId="0" borderId="4" xfId="0" applyFont="1" applyBorder="1" applyAlignment="1">
      <alignment horizontal="center" vertical="center"/>
    </xf>
    <xf numFmtId="0" fontId="9" fillId="0" borderId="4" xfId="0" applyFont="1" applyBorder="1" applyAlignment="1">
      <alignment horizontal="center" vertical="center"/>
    </xf>
    <xf numFmtId="10" fontId="3" fillId="0" borderId="4" xfId="1" applyNumberFormat="1" applyFont="1" applyBorder="1" applyAlignment="1">
      <alignment horizontal="center" vertical="center"/>
    </xf>
    <xf numFmtId="0" fontId="6" fillId="0" borderId="4" xfId="0" applyFont="1" applyBorder="1" applyAlignment="1">
      <alignment horizontal="center" vertical="center"/>
    </xf>
    <xf numFmtId="10" fontId="6" fillId="0" borderId="4" xfId="0" applyNumberFormat="1" applyFont="1" applyBorder="1" applyAlignment="1">
      <alignment horizontal="center" vertical="center"/>
    </xf>
    <xf numFmtId="10" fontId="3" fillId="0" borderId="4" xfId="0" applyNumberFormat="1" applyFont="1" applyBorder="1" applyAlignment="1">
      <alignment horizontal="center" vertical="center"/>
    </xf>
    <xf numFmtId="1" fontId="3" fillId="0" borderId="4" xfId="0" applyNumberFormat="1" applyFont="1" applyBorder="1" applyAlignment="1">
      <alignment horizontal="center" vertical="center"/>
    </xf>
    <xf numFmtId="10" fontId="6" fillId="0" borderId="4" xfId="1" applyNumberFormat="1" applyFont="1" applyBorder="1" applyAlignment="1">
      <alignment horizontal="center" vertical="center"/>
    </xf>
    <xf numFmtId="1" fontId="6" fillId="0" borderId="4" xfId="0" applyNumberFormat="1" applyFont="1" applyBorder="1" applyAlignment="1">
      <alignment horizontal="center" vertical="center"/>
    </xf>
    <xf numFmtId="176" fontId="6" fillId="0" borderId="4" xfId="1" applyNumberFormat="1" applyFont="1" applyBorder="1" applyAlignment="1">
      <alignment horizontal="center" vertical="center"/>
    </xf>
    <xf numFmtId="0" fontId="3" fillId="0" borderId="0" xfId="0" applyFont="1" applyAlignment="1">
      <alignment horizontal="center" vertical="center"/>
    </xf>
    <xf numFmtId="176" fontId="6" fillId="0" borderId="4" xfId="0" applyNumberFormat="1" applyFont="1" applyBorder="1" applyAlignment="1">
      <alignment horizontal="center" vertical="center"/>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10" fontId="9" fillId="0" borderId="0" xfId="0" applyNumberFormat="1" applyFont="1" applyAlignment="1">
      <alignment horizontal="center" vertical="center"/>
    </xf>
    <xf numFmtId="9" fontId="9" fillId="0" borderId="4" xfId="0" applyNumberFormat="1" applyFont="1" applyBorder="1" applyAlignment="1">
      <alignment horizontal="center" vertical="center"/>
    </xf>
    <xf numFmtId="0" fontId="13" fillId="5" borderId="0" xfId="0" applyFont="1" applyFill="1" applyAlignment="1">
      <alignment vertical="center"/>
    </xf>
    <xf numFmtId="0" fontId="13" fillId="5" borderId="0" xfId="0" applyFont="1" applyFill="1" applyAlignment="1">
      <alignment horizontal="center" vertical="center"/>
    </xf>
    <xf numFmtId="0" fontId="13" fillId="0" borderId="0" xfId="0" applyFont="1" applyAlignment="1" applyProtection="1">
      <alignment vertical="center"/>
      <protection locked="0"/>
    </xf>
    <xf numFmtId="0" fontId="13" fillId="0" borderId="0" xfId="0" applyFont="1" applyAlignment="1" applyProtection="1">
      <alignment horizontal="center" vertical="center"/>
      <protection locked="0"/>
    </xf>
    <xf numFmtId="0" fontId="14" fillId="6" borderId="0" xfId="7" applyFont="1" applyFill="1">
      <alignment vertical="center"/>
    </xf>
    <xf numFmtId="0" fontId="14" fillId="6" borderId="0" xfId="7" applyFont="1" applyFill="1" applyAlignment="1">
      <alignment horizontal="left" vertical="center"/>
    </xf>
    <xf numFmtId="0" fontId="15" fillId="5" borderId="0" xfId="0" applyFont="1" applyFill="1" applyAlignment="1">
      <alignment vertical="center"/>
    </xf>
    <xf numFmtId="0" fontId="15" fillId="5" borderId="0" xfId="0" applyFont="1" applyFill="1" applyAlignment="1">
      <alignment horizontal="center" vertical="center"/>
    </xf>
    <xf numFmtId="0" fontId="15" fillId="0" borderId="0" xfId="0" applyFont="1" applyAlignment="1" applyProtection="1">
      <alignment vertical="center"/>
      <protection locked="0"/>
    </xf>
    <xf numFmtId="0" fontId="16" fillId="0" borderId="0" xfId="0" applyFont="1" applyAlignment="1" applyProtection="1">
      <alignment vertical="center"/>
      <protection locked="0"/>
    </xf>
    <xf numFmtId="0" fontId="14" fillId="6" borderId="0" xfId="7" applyFont="1" applyFill="1" applyAlignment="1">
      <alignment horizontal="center" vertical="center"/>
    </xf>
    <xf numFmtId="0" fontId="14" fillId="6" borderId="0" xfId="0" applyFont="1" applyFill="1" applyAlignment="1">
      <alignment horizontal="center" vertical="center"/>
    </xf>
    <xf numFmtId="0" fontId="14" fillId="6" borderId="0" xfId="7" applyFont="1" applyFill="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0" xfId="0" applyFont="1" applyAlignment="1">
      <alignment vertical="center"/>
    </xf>
    <xf numFmtId="0" fontId="17" fillId="0" borderId="0" xfId="0" applyFont="1" applyAlignment="1" applyProtection="1">
      <alignment horizontal="center"/>
      <protection locked="0"/>
    </xf>
    <xf numFmtId="0" fontId="4" fillId="0" borderId="4" xfId="0" applyFont="1" applyBorder="1" applyAlignment="1" applyProtection="1">
      <alignment vertical="center"/>
      <protection locked="0"/>
    </xf>
    <xf numFmtId="0" fontId="13" fillId="0" borderId="0" xfId="0" applyFont="1"/>
    <xf numFmtId="0" fontId="13" fillId="0" borderId="0" xfId="0" applyFont="1" applyProtection="1">
      <protection locked="0"/>
    </xf>
    <xf numFmtId="0" fontId="13" fillId="0" borderId="0" xfId="0" applyFont="1" applyAlignment="1">
      <alignment horizontal="left" vertical="center"/>
    </xf>
    <xf numFmtId="0" fontId="13" fillId="0" borderId="0" xfId="0" applyFont="1" applyAlignment="1" applyProtection="1">
      <alignment horizontal="left" vertical="center"/>
      <protection locked="0"/>
    </xf>
    <xf numFmtId="0" fontId="13" fillId="0" borderId="0" xfId="0" applyFont="1" applyAlignment="1">
      <alignment vertical="center"/>
    </xf>
    <xf numFmtId="0" fontId="18" fillId="3" borderId="4" xfId="0" applyFont="1" applyFill="1" applyBorder="1" applyAlignment="1">
      <alignment horizontal="center" vertical="center"/>
    </xf>
    <xf numFmtId="49" fontId="13" fillId="7" borderId="4" xfId="0" applyNumberFormat="1"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4" fillId="9" borderId="4" xfId="0" applyFont="1" applyFill="1" applyBorder="1" applyAlignment="1">
      <alignment horizontal="center" vertical="center" wrapText="1"/>
    </xf>
    <xf numFmtId="0" fontId="14" fillId="9" borderId="4"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4" xfId="0" applyFont="1" applyFill="1" applyBorder="1" applyAlignment="1">
      <alignment horizontal="left" vertical="center"/>
    </xf>
    <xf numFmtId="0" fontId="13" fillId="0" borderId="4" xfId="0" applyFont="1" applyBorder="1" applyAlignment="1" applyProtection="1">
      <alignment horizontal="center" vertical="center"/>
      <protection locked="0"/>
    </xf>
    <xf numFmtId="0" fontId="21" fillId="3" borderId="4" xfId="0" applyFont="1" applyFill="1" applyBorder="1" applyAlignment="1">
      <alignment horizontal="center" vertical="center"/>
    </xf>
    <xf numFmtId="0" fontId="13" fillId="0" borderId="4" xfId="0" applyFont="1" applyBorder="1" applyAlignment="1" applyProtection="1">
      <alignment horizontal="left" vertical="center"/>
      <protection locked="0"/>
    </xf>
    <xf numFmtId="0" fontId="19" fillId="0" borderId="0" xfId="0" applyFont="1" applyAlignment="1">
      <alignment vertical="center"/>
    </xf>
    <xf numFmtId="0" fontId="14" fillId="9" borderId="2" xfId="0" applyFont="1" applyFill="1" applyBorder="1" applyAlignment="1">
      <alignment horizontal="center" vertical="center" wrapText="1"/>
    </xf>
    <xf numFmtId="0" fontId="13" fillId="0" borderId="0" xfId="0" applyFont="1" applyAlignment="1">
      <alignment horizontal="center" vertical="center"/>
    </xf>
    <xf numFmtId="0" fontId="20" fillId="3" borderId="4" xfId="0" applyFont="1" applyFill="1" applyBorder="1" applyAlignment="1">
      <alignment horizontal="center" vertical="center" wrapText="1"/>
    </xf>
    <xf numFmtId="0" fontId="20" fillId="3" borderId="4" xfId="0" applyFont="1" applyFill="1" applyBorder="1" applyAlignment="1">
      <alignment vertical="center"/>
    </xf>
    <xf numFmtId="0" fontId="28" fillId="0" borderId="0" xfId="2">
      <alignment vertical="center"/>
    </xf>
    <xf numFmtId="0" fontId="22" fillId="0" borderId="0" xfId="4" applyFont="1" applyAlignment="1">
      <alignment horizontal="center"/>
    </xf>
    <xf numFmtId="0" fontId="22" fillId="0" borderId="0" xfId="4" applyFont="1"/>
    <xf numFmtId="0" fontId="24" fillId="0" borderId="0" xfId="4" applyFont="1"/>
    <xf numFmtId="0" fontId="24" fillId="0" borderId="0" xfId="5" applyFont="1"/>
    <xf numFmtId="0" fontId="2" fillId="0" borderId="0" xfId="5"/>
    <xf numFmtId="0" fontId="13" fillId="5" borderId="0" xfId="0" quotePrefix="1" applyFont="1" applyFill="1" applyAlignment="1">
      <alignment horizontal="center" vertical="center"/>
    </xf>
    <xf numFmtId="0" fontId="4" fillId="0" borderId="10" xfId="0" quotePrefix="1" applyFont="1" applyBorder="1" applyAlignment="1">
      <alignment horizontal="center" vertical="center"/>
    </xf>
    <xf numFmtId="0" fontId="4" fillId="0" borderId="4" xfId="0" quotePrefix="1" applyFont="1" applyBorder="1" applyAlignment="1">
      <alignment horizontal="center" vertical="center"/>
    </xf>
    <xf numFmtId="0" fontId="7" fillId="0" borderId="4" xfId="0" quotePrefix="1" applyFont="1" applyBorder="1" applyAlignment="1">
      <alignment horizontal="center" vertical="center" wrapText="1"/>
    </xf>
    <xf numFmtId="0" fontId="28" fillId="0" borderId="0" xfId="0" applyFont="1" applyAlignment="1" applyProtection="1">
      <alignment vertical="center"/>
      <protection locked="0"/>
    </xf>
    <xf numFmtId="0" fontId="31" fillId="0" borderId="4" xfId="0" applyFont="1" applyBorder="1" applyAlignment="1">
      <alignment horizontal="center" vertical="center"/>
    </xf>
    <xf numFmtId="0" fontId="32" fillId="0" borderId="0" xfId="0" applyFont="1" applyAlignment="1">
      <alignment horizontal="center" vertical="center"/>
    </xf>
    <xf numFmtId="0" fontId="4" fillId="10" borderId="4" xfId="0" applyFont="1" applyFill="1" applyBorder="1" applyAlignment="1">
      <alignment horizontal="center" vertical="center"/>
    </xf>
    <xf numFmtId="0" fontId="10" fillId="10" borderId="4" xfId="0" applyFont="1" applyFill="1" applyBorder="1" applyAlignment="1">
      <alignment horizontal="center" vertical="center"/>
    </xf>
    <xf numFmtId="0" fontId="10" fillId="10" borderId="2" xfId="0" applyFont="1" applyFill="1" applyBorder="1" applyAlignment="1">
      <alignment horizontal="center" vertical="center"/>
    </xf>
    <xf numFmtId="0" fontId="10" fillId="10" borderId="10" xfId="0" applyFont="1" applyFill="1" applyBorder="1" applyAlignment="1">
      <alignment horizontal="center" vertical="center"/>
    </xf>
    <xf numFmtId="0" fontId="33" fillId="0" borderId="4" xfId="0" applyFont="1" applyBorder="1" applyAlignment="1">
      <alignment horizontal="center" vertical="center"/>
    </xf>
    <xf numFmtId="176" fontId="9" fillId="0" borderId="4" xfId="0" applyNumberFormat="1" applyFont="1" applyBorder="1" applyAlignment="1">
      <alignment horizontal="center" vertical="center"/>
    </xf>
    <xf numFmtId="0" fontId="34" fillId="0" borderId="0" xfId="0" applyFont="1" applyAlignment="1">
      <alignment horizontal="center" vertical="center"/>
    </xf>
    <xf numFmtId="0" fontId="34" fillId="0" borderId="0" xfId="0" applyFont="1" applyAlignment="1">
      <alignment horizontal="centerContinuous" vertical="center"/>
    </xf>
    <xf numFmtId="0" fontId="25" fillId="0" borderId="0" xfId="4" applyFont="1" applyAlignment="1">
      <alignment horizontal="left" vertical="top" wrapText="1"/>
    </xf>
    <xf numFmtId="0" fontId="28" fillId="0" borderId="0" xfId="2" applyAlignment="1">
      <alignment horizontal="left" vertical="center"/>
    </xf>
    <xf numFmtId="0" fontId="27" fillId="0" borderId="0" xfId="4" applyFont="1" applyAlignment="1">
      <alignment horizontal="left" vertical="top" wrapText="1"/>
    </xf>
    <xf numFmtId="0" fontId="25" fillId="0" borderId="0" xfId="4" applyFont="1" applyAlignment="1">
      <alignment horizontal="left"/>
    </xf>
    <xf numFmtId="0" fontId="26" fillId="0" borderId="0" xfId="4" applyFont="1" applyAlignment="1">
      <alignment horizontal="left" wrapText="1"/>
    </xf>
    <xf numFmtId="0" fontId="25" fillId="0" borderId="0" xfId="4" applyFont="1" applyAlignment="1">
      <alignment horizontal="left" vertical="center"/>
    </xf>
    <xf numFmtId="0" fontId="24" fillId="0" borderId="0" xfId="4" applyFont="1" applyAlignment="1">
      <alignment horizontal="left"/>
    </xf>
    <xf numFmtId="0" fontId="22" fillId="0" borderId="0" xfId="4" applyFont="1" applyAlignment="1">
      <alignment horizontal="center"/>
    </xf>
    <xf numFmtId="0" fontId="2" fillId="0" borderId="0" xfId="4"/>
    <xf numFmtId="0" fontId="22" fillId="0" borderId="0" xfId="4" applyFont="1"/>
    <xf numFmtId="0" fontId="26" fillId="0" borderId="0" xfId="4" applyFont="1" applyAlignment="1">
      <alignment horizontal="left" vertical="center" wrapText="1"/>
    </xf>
    <xf numFmtId="0" fontId="14" fillId="9" borderId="4" xfId="0" applyFont="1" applyFill="1" applyBorder="1" applyAlignment="1">
      <alignment horizontal="center" vertical="center" wrapText="1"/>
    </xf>
    <xf numFmtId="0" fontId="14" fillId="9" borderId="4" xfId="0" applyFont="1" applyFill="1" applyBorder="1" applyAlignment="1">
      <alignment horizontal="center" vertical="center"/>
    </xf>
    <xf numFmtId="0" fontId="19" fillId="8" borderId="1" xfId="0" applyFont="1" applyFill="1" applyBorder="1" applyAlignment="1">
      <alignment horizontal="lef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3" fillId="0" borderId="4" xfId="0" applyFont="1" applyBorder="1" applyAlignment="1">
      <alignment horizontal="center" vertical="center" wrapText="1"/>
    </xf>
    <xf numFmtId="0" fontId="0" fillId="0" borderId="4" xfId="0" applyBorder="1" applyAlignment="1">
      <alignment horizontal="center" vertical="center"/>
    </xf>
    <xf numFmtId="0" fontId="3" fillId="0" borderId="4"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left" vertical="center"/>
    </xf>
    <xf numFmtId="0" fontId="9" fillId="0" borderId="1" xfId="0" applyFont="1" applyBorder="1" applyAlignment="1">
      <alignment horizontal="left" vertical="center"/>
    </xf>
    <xf numFmtId="0" fontId="9" fillId="0" borderId="1" xfId="0" applyFont="1" applyBorder="1" applyAlignment="1">
      <alignment vertical="center"/>
    </xf>
    <xf numFmtId="0" fontId="0" fillId="0" borderId="1" xfId="0" applyBorder="1" applyAlignment="1">
      <alignment vertical="center"/>
    </xf>
    <xf numFmtId="0" fontId="6" fillId="0" borderId="4"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12" fillId="0" borderId="4" xfId="0" applyFont="1" applyBorder="1" applyAlignment="1">
      <alignment horizontal="center" vertical="center"/>
    </xf>
    <xf numFmtId="0" fontId="9" fillId="0" borderId="4" xfId="0" applyFont="1" applyBorder="1" applyAlignment="1">
      <alignment horizontal="center" vertical="center"/>
    </xf>
    <xf numFmtId="0" fontId="11" fillId="0" borderId="4" xfId="0" applyFont="1" applyBorder="1" applyAlignment="1">
      <alignment horizontal="center" vertical="center"/>
    </xf>
    <xf numFmtId="0" fontId="0" fillId="0" borderId="3" xfId="0"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textRotation="255"/>
    </xf>
    <xf numFmtId="0" fontId="4" fillId="0" borderId="0" xfId="0" applyFont="1" applyAlignment="1">
      <alignment horizontal="center" vertical="center" textRotation="255"/>
    </xf>
    <xf numFmtId="0" fontId="4" fillId="2" borderId="4" xfId="0" applyFont="1" applyFill="1" applyBorder="1" applyAlignment="1">
      <alignment horizontal="center" vertical="center" textRotation="255"/>
    </xf>
    <xf numFmtId="0" fontId="4" fillId="0" borderId="5"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2" borderId="5"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4" xfId="0" applyFont="1" applyFill="1" applyBorder="1" applyAlignment="1">
      <alignment horizontal="center" vertical="center" textRotation="255" wrapText="1"/>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9" xfId="0" applyFont="1" applyBorder="1" applyAlignment="1">
      <alignment horizontal="center" vertical="center"/>
    </xf>
    <xf numFmtId="0" fontId="10" fillId="0" borderId="3" xfId="0" applyFont="1" applyBorder="1" applyAlignment="1">
      <alignment horizontal="center" vertical="center"/>
    </xf>
    <xf numFmtId="0" fontId="0" fillId="0" borderId="7" xfId="0" applyBorder="1" applyAlignment="1">
      <alignment horizontal="center" vertical="center" textRotation="255"/>
    </xf>
    <xf numFmtId="0" fontId="0" fillId="0" borderId="4" xfId="0" applyBorder="1" applyAlignment="1">
      <alignment horizontal="center" vertical="center" textRotation="255"/>
    </xf>
    <xf numFmtId="0" fontId="4" fillId="0" borderId="4" xfId="0" applyFont="1" applyBorder="1" applyAlignment="1">
      <alignment horizontal="center" vertical="center" textRotation="255"/>
    </xf>
    <xf numFmtId="0" fontId="11" fillId="0" borderId="4" xfId="0" applyFont="1" applyBorder="1" applyAlignment="1">
      <alignment vertical="center"/>
    </xf>
    <xf numFmtId="0" fontId="10" fillId="10" borderId="4"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10" fillId="10" borderId="4" xfId="0" applyFont="1" applyFill="1" applyBorder="1" applyAlignment="1">
      <alignment horizontal="center" vertical="center"/>
    </xf>
    <xf numFmtId="0" fontId="4" fillId="10" borderId="4" xfId="0" applyFont="1" applyFill="1" applyBorder="1" applyAlignment="1">
      <alignment horizontal="center" vertical="center"/>
    </xf>
    <xf numFmtId="0" fontId="4" fillId="0" borderId="4" xfId="0" applyFont="1" applyBorder="1" applyAlignment="1">
      <alignment vertical="center" textRotation="255"/>
    </xf>
    <xf numFmtId="0" fontId="4" fillId="0" borderId="1" xfId="0" applyFont="1" applyBorder="1" applyAlignment="1">
      <alignment vertical="center"/>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49" fontId="4" fillId="2" borderId="2"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2" borderId="9" xfId="0" applyFont="1" applyFill="1" applyBorder="1" applyAlignment="1">
      <alignment horizontal="center" vertical="center" textRotation="255" wrapText="1"/>
    </xf>
    <xf numFmtId="0" fontId="10" fillId="4" borderId="4" xfId="0" applyFont="1" applyFill="1" applyBorder="1" applyAlignment="1">
      <alignment horizontal="center" vertical="center"/>
    </xf>
    <xf numFmtId="0" fontId="4" fillId="4" borderId="4" xfId="0" applyFont="1" applyFill="1" applyBorder="1" applyAlignment="1">
      <alignment horizontal="center" vertical="center"/>
    </xf>
    <xf numFmtId="0" fontId="4" fillId="0" borderId="4" xfId="0" applyFont="1" applyBorder="1" applyAlignment="1">
      <alignment horizontal="center" vertical="center"/>
    </xf>
    <xf numFmtId="0" fontId="5" fillId="0" borderId="0" xfId="0" applyFont="1" applyAlignment="1">
      <alignment horizontal="center" vertical="center"/>
    </xf>
    <xf numFmtId="0" fontId="6" fillId="0" borderId="4" xfId="0" applyFont="1" applyBorder="1" applyAlignment="1">
      <alignment horizontal="center" vertical="center" wrapText="1"/>
    </xf>
  </cellXfs>
  <cellStyles count="9">
    <cellStyle name="百分比" xfId="1" builtinId="5"/>
    <cellStyle name="常规" xfId="0" builtinId="0"/>
    <cellStyle name="常规 2" xfId="7" xr:uid="{00000000-0005-0000-0000-000036000000}"/>
    <cellStyle name="常规 2 2" xfId="6" xr:uid="{00000000-0005-0000-0000-000030000000}"/>
    <cellStyle name="常规 2 5" xfId="4" xr:uid="{00000000-0005-0000-0000-000014000000}"/>
    <cellStyle name="常规 3 2" xfId="5" xr:uid="{00000000-0005-0000-0000-00002B000000}"/>
    <cellStyle name="常规 4 2" xfId="8" xr:uid="{00000000-0005-0000-0000-000037000000}"/>
    <cellStyle name="常规 5 2" xfId="3" xr:uid="{00000000-0005-0000-0000-000012000000}"/>
    <cellStyle name="常规 6" xfId="2" xr:uid="{00000000-0005-0000-0000-00000D000000}"/>
  </cellStyles>
  <dxfs count="25">
    <dxf>
      <font>
        <b/>
        <i val="0"/>
      </font>
    </dxf>
    <dxf>
      <font>
        <color theme="0"/>
      </font>
    </dxf>
    <dxf>
      <font>
        <color theme="0"/>
      </font>
    </dxf>
    <dxf>
      <font>
        <b/>
        <i val="0"/>
      </font>
    </dxf>
    <dxf>
      <font>
        <color theme="0"/>
      </font>
      <fill>
        <patternFill patternType="none"/>
      </fill>
    </dxf>
    <dxf>
      <font>
        <color theme="0"/>
      </font>
      <fill>
        <patternFill patternType="none"/>
      </fill>
    </dxf>
    <dxf>
      <font>
        <color theme="0"/>
      </font>
      <fill>
        <patternFill patternType="none"/>
      </fill>
    </dxf>
    <dxf>
      <font>
        <b/>
        <i val="0"/>
      </font>
    </dxf>
    <dxf>
      <font>
        <color theme="0"/>
      </font>
      <fill>
        <patternFill patternType="none"/>
      </fill>
    </dxf>
    <dxf>
      <font>
        <color theme="0"/>
      </font>
    </dxf>
    <dxf>
      <font>
        <b/>
        <i val="0"/>
      </font>
    </dxf>
    <dxf>
      <font>
        <color theme="0"/>
      </font>
      <fill>
        <patternFill patternType="none"/>
      </fill>
    </dxf>
    <dxf>
      <font>
        <b/>
        <i val="0"/>
      </font>
    </dxf>
    <dxf>
      <font>
        <b/>
        <i val="0"/>
      </font>
    </dxf>
    <dxf>
      <font>
        <b/>
        <i val="0"/>
      </font>
    </dxf>
    <dxf>
      <font>
        <b/>
        <i val="0"/>
      </font>
    </dxf>
    <dxf>
      <font>
        <b/>
        <i val="0"/>
      </font>
    </dxf>
    <dxf>
      <font>
        <color theme="0"/>
      </font>
      <fill>
        <patternFill patternType="none"/>
      </fill>
    </dxf>
    <dxf>
      <font>
        <b/>
        <i val="0"/>
        <color rgb="FFC00000"/>
      </font>
    </dxf>
    <dxf>
      <font>
        <b/>
        <i val="0"/>
        <color rgb="FFC00000"/>
      </font>
    </dxf>
    <dxf>
      <fill>
        <patternFill patternType="solid">
          <bgColor theme="5" tint="0.39948728904080327"/>
        </patternFill>
      </fill>
    </dxf>
    <dxf>
      <font>
        <b/>
        <i val="0"/>
      </font>
    </dxf>
    <dxf>
      <font>
        <color rgb="FF9C0006"/>
      </font>
      <fill>
        <patternFill patternType="solid">
          <bgColor rgb="FFFFC7CE"/>
        </patternFill>
      </fill>
    </dxf>
    <dxf>
      <font>
        <color rgb="FF9C0006"/>
      </font>
      <fill>
        <patternFill patternType="solid">
          <bgColor rgb="FFFFC7CE"/>
        </patternFill>
      </fill>
    </dxf>
    <dxf>
      <font>
        <b/>
        <i val="0"/>
        <color rgb="FFC00000"/>
      </font>
    </dxf>
  </dxfs>
  <tableStyles count="0" defaultTableStyle="TableStyleMedium2" defaultPivotStyle="PivotStyleLight16"/>
  <colors>
    <mruColors>
      <color rgb="FF5C8A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0</xdr:row>
          <xdr:rowOff>184150</xdr:rowOff>
        </xdr:from>
        <xdr:to>
          <xdr:col>6</xdr:col>
          <xdr:colOff>6350</xdr:colOff>
          <xdr:row>2</xdr:row>
          <xdr:rowOff>19050</xdr:rowOff>
        </xdr:to>
        <xdr:sp macro="" textlink="">
          <xdr:nvSpPr>
            <xdr:cNvPr id="11266" name="CommandButton1"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120650</xdr:colOff>
          <xdr:row>0</xdr:row>
          <xdr:rowOff>101600</xdr:rowOff>
        </xdr:from>
        <xdr:to>
          <xdr:col>14</xdr:col>
          <xdr:colOff>609600</xdr:colOff>
          <xdr:row>41</xdr:row>
          <xdr:rowOff>50800</xdr:rowOff>
        </xdr:to>
        <xdr:sp macro="" textlink="">
          <xdr:nvSpPr>
            <xdr:cNvPr id="12291" name="Object 3" hidden="1">
              <a:extLst>
                <a:ext uri="{63B3BB69-23CF-44E3-9099-C40C66FF867C}">
                  <a14:compatExt spid="_x0000_s12291"/>
                </a:ext>
                <a:ext uri="{FF2B5EF4-FFF2-40B4-BE49-F238E27FC236}">
                  <a16:creationId xmlns:a16="http://schemas.microsoft.com/office/drawing/2014/main" id="{00000000-0008-0000-0600-000003300000}"/>
                </a:ext>
              </a:extLst>
            </xdr:cNvPr>
            <xdr:cNvSpPr/>
          </xdr:nvSpPr>
          <xdr:spPr bwMode="auto">
            <a:xfrm>
              <a:off x="0" y="0"/>
              <a:ext cx="0" cy="0"/>
            </a:xfrm>
            <a:prstGeom prst="rect">
              <a:avLst/>
            </a:prstGeom>
            <a:solidFill>
              <a:srgbClr val="FFFFFF"/>
            </a:solidFill>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unqun\AppData\Roaming\Microsoft\Excel\&#21103;&#26412;&#39134;&#34892;&#22120;&#21046;&#36896;&#24037;&#31243;-&#20154;&#25165;&#22521;&#20859;&#26041;&#26696;(1)%20(version%201).xlsb" TargetMode="External"/><Relationship Id="rId1" Type="http://schemas.openxmlformats.org/officeDocument/2006/relationships/externalLinkPath" Target="file:///C:\Users\sunqun\AppData\Roaming\Microsoft\Excel\&#21103;&#26412;&#39134;&#34892;&#22120;&#21046;&#36896;&#24037;&#31243;-&#20154;&#25165;&#22521;&#20859;&#26041;&#26696;(1)%20(version%2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6\&#21103;&#26412;&#39134;&#34892;&#22120;&#21046;&#36896;&#24037;&#31243;-&#20154;&#25165;&#22521;&#20859;&#26041;&#26696;(1).xlsm" TargetMode="External"/><Relationship Id="rId1" Type="http://schemas.openxmlformats.org/officeDocument/2006/relationships/externalLinkPath" Target="/6/&#21103;&#26412;&#39134;&#34892;&#22120;&#21046;&#36896;&#24037;&#31243;-&#20154;&#25165;&#22521;&#20859;&#26041;&#26696;(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中文描述"/>
      <sheetName val="英文描述"/>
      <sheetName val="数据定义"/>
      <sheetName val="参数"/>
      <sheetName val="课程清单"/>
      <sheetName val="课程学分学时分布表（附件1）"/>
      <sheetName val="课程设置与教学进程表（附件2）"/>
      <sheetName val="课程地图(附件3)"/>
      <sheetName val="校企共建产教融合型专业能力课程（附件4）"/>
      <sheetName val="培养目标—毕业要求二维矩阵表（附件5）"/>
      <sheetName val="毕业要求—课程体系二维矩阵表（附件6）"/>
    </sheetNames>
    <sheetDataSet>
      <sheetData sheetId="0"/>
      <sheetData sheetId="1"/>
      <sheetData sheetId="2"/>
      <sheetData sheetId="3"/>
      <sheetData sheetId="4">
        <row r="1">
          <cell r="A1" t="str">
            <v>合并串</v>
          </cell>
          <cell r="D1" t="str">
            <v>课程模块</v>
          </cell>
          <cell r="E1" t="str">
            <v>三级类别</v>
          </cell>
          <cell r="F1" t="str">
            <v>模块序号</v>
          </cell>
          <cell r="G1" t="str">
            <v>课程代码</v>
          </cell>
          <cell r="H1" t="str">
            <v>课程中文名称</v>
          </cell>
          <cell r="I1" t="str">
            <v>课程英文名称</v>
          </cell>
          <cell r="J1" t="str">
            <v>课程
性质</v>
          </cell>
          <cell r="K1" t="str">
            <v>考核方式</v>
          </cell>
          <cell r="L1" t="str">
            <v>学分</v>
          </cell>
          <cell r="M1" t="str">
            <v>总学时</v>
          </cell>
          <cell r="N1" t="str">
            <v>理论学时</v>
          </cell>
          <cell r="O1" t="str">
            <v>实验学时</v>
          </cell>
          <cell r="P1" t="str">
            <v>修读学期</v>
          </cell>
          <cell r="Q1" t="str">
            <v>周学时</v>
          </cell>
        </row>
        <row r="2">
          <cell r="D2" t="str">
            <v>思政类</v>
          </cell>
          <cell r="F2">
            <v>1</v>
          </cell>
          <cell r="G2" t="str">
            <v>053017P1</v>
          </cell>
          <cell r="H2" t="str">
            <v>中国近现代史纲要</v>
          </cell>
          <cell r="I2" t="str">
            <v>Outline of Modern Chinese History</v>
          </cell>
          <cell r="J2" t="str">
            <v>必修</v>
          </cell>
          <cell r="L2">
            <v>3</v>
          </cell>
          <cell r="M2">
            <v>48</v>
          </cell>
          <cell r="N2">
            <v>48</v>
          </cell>
          <cell r="P2">
            <v>2</v>
          </cell>
          <cell r="Q2">
            <v>3</v>
          </cell>
        </row>
        <row r="3">
          <cell r="D3" t="str">
            <v>思政类</v>
          </cell>
          <cell r="F3">
            <v>2</v>
          </cell>
          <cell r="G3" t="str">
            <v>053011R1</v>
          </cell>
          <cell r="H3" t="str">
            <v>思想道德与法治</v>
          </cell>
          <cell r="I3" t="str">
            <v>Ideology Morality and Law</v>
          </cell>
          <cell r="J3" t="str">
            <v>必修</v>
          </cell>
          <cell r="L3">
            <v>2</v>
          </cell>
          <cell r="M3">
            <v>32</v>
          </cell>
          <cell r="N3">
            <v>32</v>
          </cell>
          <cell r="P3">
            <v>1</v>
          </cell>
          <cell r="Q3">
            <v>2</v>
          </cell>
        </row>
        <row r="4">
          <cell r="D4" t="str">
            <v>思政类</v>
          </cell>
          <cell r="F4">
            <v>3</v>
          </cell>
          <cell r="G4" t="str">
            <v>053011R1</v>
          </cell>
          <cell r="H4" t="str">
            <v>思想道德与法治实践</v>
          </cell>
          <cell r="I4" t="str">
            <v>Ideology Morality and Law Practice</v>
          </cell>
          <cell r="J4" t="str">
            <v>必修</v>
          </cell>
          <cell r="L4">
            <v>1</v>
          </cell>
          <cell r="M4">
            <v>20</v>
          </cell>
          <cell r="O4">
            <v>20</v>
          </cell>
          <cell r="P4">
            <v>1</v>
          </cell>
          <cell r="Q4" t="str">
            <v>+1</v>
          </cell>
        </row>
        <row r="5">
          <cell r="D5" t="str">
            <v>思政类</v>
          </cell>
          <cell r="F5">
            <v>4</v>
          </cell>
          <cell r="G5" t="str">
            <v>053010R1</v>
          </cell>
          <cell r="H5" t="str">
            <v>马克思主义基本原理</v>
          </cell>
          <cell r="I5" t="str">
            <v>The Principle of Marx Doctrine</v>
          </cell>
          <cell r="J5" t="str">
            <v>必修</v>
          </cell>
          <cell r="L5">
            <v>3</v>
          </cell>
          <cell r="M5">
            <v>48</v>
          </cell>
          <cell r="N5">
            <v>48</v>
          </cell>
          <cell r="P5">
            <v>4</v>
          </cell>
          <cell r="Q5">
            <v>3</v>
          </cell>
        </row>
        <row r="6">
          <cell r="D6" t="str">
            <v>思政类</v>
          </cell>
          <cell r="F6">
            <v>5</v>
          </cell>
          <cell r="G6" t="str">
            <v>053008R1</v>
          </cell>
          <cell r="H6" t="str">
            <v>毛泽东思想和中国特色社会主义理论体系概论</v>
          </cell>
          <cell r="I6" t="str">
            <v>Mao Zedong Thought and Theoretical Stystem of Chinese Socialism</v>
          </cell>
          <cell r="J6" t="str">
            <v>必修</v>
          </cell>
          <cell r="L6">
            <v>4</v>
          </cell>
          <cell r="M6">
            <v>64</v>
          </cell>
          <cell r="N6">
            <v>64</v>
          </cell>
          <cell r="P6">
            <v>3</v>
          </cell>
          <cell r="Q6">
            <v>4</v>
          </cell>
        </row>
        <row r="7">
          <cell r="D7" t="str">
            <v>思政类</v>
          </cell>
          <cell r="F7">
            <v>6</v>
          </cell>
          <cell r="G7" t="str">
            <v>053008R1</v>
          </cell>
          <cell r="H7" t="str">
            <v>毛泽东思想和中国特色社会主义理论体系概论实践</v>
          </cell>
          <cell r="I7" t="str">
            <v>Mao Zedong Thought and Theoretical Stystem of Chinese Practice</v>
          </cell>
          <cell r="J7" t="str">
            <v>必修</v>
          </cell>
          <cell r="L7">
            <v>1</v>
          </cell>
          <cell r="M7">
            <v>20</v>
          </cell>
          <cell r="O7">
            <v>20</v>
          </cell>
          <cell r="P7">
            <v>3</v>
          </cell>
          <cell r="Q7" t="str">
            <v>+1</v>
          </cell>
        </row>
        <row r="8">
          <cell r="D8" t="str">
            <v>思政类</v>
          </cell>
          <cell r="F8">
            <v>7</v>
          </cell>
          <cell r="G8" t="str">
            <v>053111P1</v>
          </cell>
          <cell r="H8" t="str">
            <v>形势与政策（1）</v>
          </cell>
          <cell r="I8" t="str">
            <v>Situation and Policy(I)</v>
          </cell>
          <cell r="J8" t="str">
            <v>必修</v>
          </cell>
          <cell r="L8">
            <v>0.25</v>
          </cell>
          <cell r="M8">
            <v>4</v>
          </cell>
          <cell r="N8">
            <v>4</v>
          </cell>
          <cell r="P8">
            <v>1</v>
          </cell>
          <cell r="Q8">
            <v>2</v>
          </cell>
        </row>
        <row r="9">
          <cell r="D9" t="str">
            <v>思政类</v>
          </cell>
          <cell r="F9">
            <v>8</v>
          </cell>
          <cell r="G9" t="str">
            <v>053111P2</v>
          </cell>
          <cell r="H9" t="str">
            <v>形势与政策（2）</v>
          </cell>
          <cell r="I9" t="str">
            <v>Situation and Policy(II)</v>
          </cell>
          <cell r="J9" t="str">
            <v>必修</v>
          </cell>
          <cell r="L9">
            <v>0.25</v>
          </cell>
          <cell r="M9">
            <v>4</v>
          </cell>
          <cell r="N9">
            <v>4</v>
          </cell>
          <cell r="P9">
            <v>2</v>
          </cell>
          <cell r="Q9">
            <v>2</v>
          </cell>
        </row>
        <row r="10">
          <cell r="D10" t="str">
            <v>思政类</v>
          </cell>
          <cell r="F10">
            <v>9</v>
          </cell>
          <cell r="G10" t="str">
            <v>053111P3</v>
          </cell>
          <cell r="H10" t="str">
            <v>形势与政策（3）</v>
          </cell>
          <cell r="I10" t="str">
            <v>Situation and Policy(III)</v>
          </cell>
          <cell r="J10" t="str">
            <v>必修</v>
          </cell>
          <cell r="L10">
            <v>0.25</v>
          </cell>
          <cell r="M10">
            <v>4</v>
          </cell>
          <cell r="N10">
            <v>4</v>
          </cell>
          <cell r="P10">
            <v>3</v>
          </cell>
          <cell r="Q10">
            <v>2</v>
          </cell>
        </row>
        <row r="11">
          <cell r="D11" t="str">
            <v>思政类</v>
          </cell>
          <cell r="F11">
            <v>10</v>
          </cell>
          <cell r="G11" t="str">
            <v>053111P4</v>
          </cell>
          <cell r="H11" t="str">
            <v>形势与政策（4）</v>
          </cell>
          <cell r="I11" t="str">
            <v>Situation and Policy(IV)</v>
          </cell>
          <cell r="J11" t="str">
            <v>必修</v>
          </cell>
          <cell r="L11">
            <v>0.25</v>
          </cell>
          <cell r="M11">
            <v>4</v>
          </cell>
          <cell r="N11">
            <v>4</v>
          </cell>
          <cell r="P11">
            <v>4</v>
          </cell>
          <cell r="Q11">
            <v>2</v>
          </cell>
        </row>
        <row r="12">
          <cell r="D12" t="str">
            <v>思政类</v>
          </cell>
          <cell r="F12">
            <v>11</v>
          </cell>
          <cell r="G12" t="str">
            <v>053111P5</v>
          </cell>
          <cell r="H12" t="str">
            <v>形势与政策（5）</v>
          </cell>
          <cell r="I12" t="str">
            <v>Situation and Policy(V)</v>
          </cell>
          <cell r="J12" t="str">
            <v>必修</v>
          </cell>
          <cell r="L12">
            <v>0.25</v>
          </cell>
          <cell r="M12">
            <v>4</v>
          </cell>
          <cell r="N12">
            <v>4</v>
          </cell>
          <cell r="P12">
            <v>5</v>
          </cell>
          <cell r="Q12">
            <v>2</v>
          </cell>
        </row>
        <row r="13">
          <cell r="D13" t="str">
            <v>思政类</v>
          </cell>
          <cell r="F13">
            <v>12</v>
          </cell>
          <cell r="G13" t="str">
            <v>053111P6</v>
          </cell>
          <cell r="H13" t="str">
            <v>形势与政策（6）</v>
          </cell>
          <cell r="I13" t="str">
            <v>Situation and Policy(VI)</v>
          </cell>
          <cell r="J13" t="str">
            <v>必修</v>
          </cell>
          <cell r="L13">
            <v>0.25</v>
          </cell>
          <cell r="M13">
            <v>4</v>
          </cell>
          <cell r="N13">
            <v>4</v>
          </cell>
          <cell r="P13">
            <v>6</v>
          </cell>
          <cell r="Q13">
            <v>2</v>
          </cell>
        </row>
        <row r="14">
          <cell r="D14" t="str">
            <v>思政类</v>
          </cell>
          <cell r="F14">
            <v>13</v>
          </cell>
          <cell r="G14" t="str">
            <v>053111P7</v>
          </cell>
          <cell r="H14" t="str">
            <v>形势与政策（7）</v>
          </cell>
          <cell r="I14" t="str">
            <v>Situation and Policy(VII)</v>
          </cell>
          <cell r="J14" t="str">
            <v>必修</v>
          </cell>
          <cell r="L14">
            <v>0.25</v>
          </cell>
          <cell r="M14">
            <v>4</v>
          </cell>
          <cell r="N14">
            <v>4</v>
          </cell>
          <cell r="P14">
            <v>7</v>
          </cell>
          <cell r="Q14">
            <v>2</v>
          </cell>
        </row>
        <row r="15">
          <cell r="D15" t="str">
            <v>思政类</v>
          </cell>
          <cell r="F15">
            <v>14</v>
          </cell>
          <cell r="G15" t="str">
            <v>053111P8</v>
          </cell>
          <cell r="H15" t="str">
            <v>形势与政策（8）</v>
          </cell>
          <cell r="I15" t="str">
            <v>Situation and Policy(VIII)</v>
          </cell>
          <cell r="J15" t="str">
            <v>必修</v>
          </cell>
          <cell r="L15">
            <v>0.25</v>
          </cell>
          <cell r="M15">
            <v>4</v>
          </cell>
          <cell r="N15">
            <v>4</v>
          </cell>
          <cell r="P15">
            <v>8</v>
          </cell>
          <cell r="Q15">
            <v>2</v>
          </cell>
        </row>
        <row r="16">
          <cell r="D16" t="str">
            <v>思政类</v>
          </cell>
          <cell r="F16">
            <v>15</v>
          </cell>
          <cell r="G16" t="str">
            <v>见“四史”课程一览表</v>
          </cell>
          <cell r="H16" t="str">
            <v>“四史”课程</v>
          </cell>
          <cell r="I16" t="str">
            <v>Histories of the Communist Party of China，People's Republic of China，the Reform and Opening-up，and the Socialist  Development</v>
          </cell>
          <cell r="J16" t="str">
            <v>限选</v>
          </cell>
          <cell r="L16">
            <v>1</v>
          </cell>
          <cell r="M16">
            <v>16</v>
          </cell>
          <cell r="N16">
            <v>16</v>
          </cell>
          <cell r="Q16">
            <v>1</v>
          </cell>
        </row>
        <row r="17">
          <cell r="D17" t="str">
            <v>外语类</v>
          </cell>
          <cell r="F17">
            <v>1</v>
          </cell>
          <cell r="G17" t="str">
            <v>063001A1</v>
          </cell>
          <cell r="H17" t="str">
            <v>大学英语（1）</v>
          </cell>
          <cell r="I17" t="str">
            <v>College English(I)</v>
          </cell>
          <cell r="J17" t="str">
            <v>必修</v>
          </cell>
          <cell r="L17">
            <v>2</v>
          </cell>
          <cell r="M17">
            <v>32</v>
          </cell>
          <cell r="N17">
            <v>32</v>
          </cell>
          <cell r="P17">
            <v>1</v>
          </cell>
          <cell r="Q17">
            <v>2</v>
          </cell>
        </row>
        <row r="18">
          <cell r="D18" t="str">
            <v>外语类</v>
          </cell>
          <cell r="F18">
            <v>2</v>
          </cell>
          <cell r="G18" t="str">
            <v>063002Q1</v>
          </cell>
          <cell r="H18" t="str">
            <v>大学英语听说（1）</v>
          </cell>
          <cell r="I18" t="str">
            <v>College English Listening and Speaking(I)</v>
          </cell>
          <cell r="J18" t="str">
            <v>必修</v>
          </cell>
          <cell r="L18">
            <v>2</v>
          </cell>
          <cell r="M18">
            <v>32</v>
          </cell>
          <cell r="N18">
            <v>32</v>
          </cell>
          <cell r="P18">
            <v>1</v>
          </cell>
          <cell r="Q18">
            <v>2</v>
          </cell>
        </row>
        <row r="19">
          <cell r="D19" t="str">
            <v>外语类</v>
          </cell>
          <cell r="F19">
            <v>3</v>
          </cell>
          <cell r="G19" t="str">
            <v>063001A2</v>
          </cell>
          <cell r="H19" t="str">
            <v>大学英语（2）</v>
          </cell>
          <cell r="I19" t="str">
            <v>College English(Ⅱ)</v>
          </cell>
          <cell r="J19" t="str">
            <v>必修</v>
          </cell>
          <cell r="L19">
            <v>2</v>
          </cell>
          <cell r="M19">
            <v>32</v>
          </cell>
          <cell r="N19">
            <v>32</v>
          </cell>
          <cell r="P19">
            <v>2</v>
          </cell>
          <cell r="Q19">
            <v>2</v>
          </cell>
        </row>
        <row r="20">
          <cell r="D20" t="str">
            <v>外语类</v>
          </cell>
          <cell r="F20">
            <v>4</v>
          </cell>
          <cell r="G20" t="str">
            <v>063002Q2</v>
          </cell>
          <cell r="H20" t="str">
            <v>大学英语听说（2）</v>
          </cell>
          <cell r="I20" t="str">
            <v>College English Listening and Speaking(Ⅱ)</v>
          </cell>
          <cell r="J20" t="str">
            <v>必修</v>
          </cell>
          <cell r="L20">
            <v>2</v>
          </cell>
          <cell r="M20">
            <v>32</v>
          </cell>
          <cell r="N20">
            <v>32</v>
          </cell>
          <cell r="P20">
            <v>2</v>
          </cell>
          <cell r="Q20">
            <v>2</v>
          </cell>
        </row>
        <row r="21">
          <cell r="D21" t="str">
            <v>外语类</v>
          </cell>
          <cell r="F21">
            <v>5</v>
          </cell>
          <cell r="G21" t="str">
            <v>见大学英语限选课程一览表</v>
          </cell>
          <cell r="H21" t="str">
            <v>大学英语限选课程</v>
          </cell>
          <cell r="I21" t="str">
            <v>Distributional ELectives of Colloge English</v>
          </cell>
          <cell r="J21" t="str">
            <v>限选</v>
          </cell>
          <cell r="L21">
            <v>2</v>
          </cell>
          <cell r="M21">
            <v>32</v>
          </cell>
          <cell r="N21">
            <v>32</v>
          </cell>
          <cell r="Q21">
            <v>2</v>
          </cell>
        </row>
        <row r="22">
          <cell r="D22" t="str">
            <v>军体类</v>
          </cell>
          <cell r="F22">
            <v>1</v>
          </cell>
          <cell r="G22" t="str">
            <v>课程组</v>
          </cell>
          <cell r="H22" t="str">
            <v>体育（1）</v>
          </cell>
          <cell r="I22" t="str">
            <v>Physical Education(I)</v>
          </cell>
          <cell r="J22" t="str">
            <v>必修</v>
          </cell>
          <cell r="L22">
            <v>1</v>
          </cell>
          <cell r="M22">
            <v>32</v>
          </cell>
          <cell r="N22">
            <v>32</v>
          </cell>
          <cell r="P22">
            <v>1</v>
          </cell>
          <cell r="Q22">
            <v>2</v>
          </cell>
        </row>
        <row r="23">
          <cell r="D23" t="str">
            <v>军体类</v>
          </cell>
          <cell r="F23">
            <v>2</v>
          </cell>
          <cell r="G23" t="str">
            <v>课程组</v>
          </cell>
          <cell r="H23" t="str">
            <v>体育（2）</v>
          </cell>
          <cell r="I23" t="str">
            <v>Physical Education(II)</v>
          </cell>
          <cell r="J23" t="str">
            <v>必修</v>
          </cell>
          <cell r="L23">
            <v>1</v>
          </cell>
          <cell r="M23">
            <v>32</v>
          </cell>
          <cell r="N23">
            <v>32</v>
          </cell>
          <cell r="P23">
            <v>2</v>
          </cell>
          <cell r="Q23">
            <v>2</v>
          </cell>
        </row>
        <row r="24">
          <cell r="D24" t="str">
            <v>军体类</v>
          </cell>
          <cell r="F24">
            <v>3</v>
          </cell>
          <cell r="G24" t="str">
            <v>课程组</v>
          </cell>
          <cell r="H24" t="str">
            <v>体育（3）</v>
          </cell>
          <cell r="I24" t="str">
            <v>Physical Education(III)</v>
          </cell>
          <cell r="J24" t="str">
            <v>必修</v>
          </cell>
          <cell r="L24">
            <v>1</v>
          </cell>
          <cell r="M24">
            <v>32</v>
          </cell>
          <cell r="N24">
            <v>32</v>
          </cell>
          <cell r="P24">
            <v>3</v>
          </cell>
          <cell r="Q24">
            <v>2</v>
          </cell>
        </row>
        <row r="25">
          <cell r="D25" t="str">
            <v>军体类</v>
          </cell>
          <cell r="F25">
            <v>4</v>
          </cell>
          <cell r="G25" t="str">
            <v>课程组</v>
          </cell>
          <cell r="H25" t="str">
            <v>体育（4）</v>
          </cell>
          <cell r="I25" t="str">
            <v>Physical Education(IV)</v>
          </cell>
          <cell r="J25" t="str">
            <v>必修</v>
          </cell>
          <cell r="L25">
            <v>1</v>
          </cell>
          <cell r="M25">
            <v>32</v>
          </cell>
          <cell r="N25">
            <v>32</v>
          </cell>
          <cell r="P25">
            <v>4</v>
          </cell>
          <cell r="Q25">
            <v>2</v>
          </cell>
        </row>
        <row r="26">
          <cell r="D26" t="str">
            <v>军体类</v>
          </cell>
          <cell r="F26">
            <v>5</v>
          </cell>
          <cell r="G26" t="str">
            <v>903005P1</v>
          </cell>
          <cell r="H26" t="str">
            <v>军事理论</v>
          </cell>
          <cell r="I26" t="str">
            <v>Military Theory</v>
          </cell>
          <cell r="J26" t="str">
            <v>必修</v>
          </cell>
          <cell r="L26">
            <v>2</v>
          </cell>
          <cell r="M26">
            <v>32</v>
          </cell>
          <cell r="N26">
            <v>32</v>
          </cell>
          <cell r="P26">
            <v>1</v>
          </cell>
          <cell r="Q26">
            <v>2</v>
          </cell>
        </row>
        <row r="27">
          <cell r="D27" t="str">
            <v>军体类</v>
          </cell>
          <cell r="F27">
            <v>6</v>
          </cell>
          <cell r="G27" t="str">
            <v>903006P1</v>
          </cell>
          <cell r="H27" t="str">
            <v>军事技能</v>
          </cell>
          <cell r="I27" t="str">
            <v>Military Skills</v>
          </cell>
          <cell r="J27" t="str">
            <v>必修</v>
          </cell>
          <cell r="L27">
            <v>2</v>
          </cell>
          <cell r="M27">
            <v>40</v>
          </cell>
          <cell r="O27">
            <v>40</v>
          </cell>
          <cell r="P27">
            <v>1</v>
          </cell>
          <cell r="Q27" t="str">
            <v>+2</v>
          </cell>
        </row>
        <row r="28">
          <cell r="D28" t="str">
            <v>计算机类</v>
          </cell>
          <cell r="F28">
            <v>1</v>
          </cell>
          <cell r="G28" t="str">
            <v>033466A1</v>
          </cell>
          <cell r="H28" t="str">
            <v>大学信息技术</v>
          </cell>
          <cell r="I28" t="str">
            <v>College Information Technology</v>
          </cell>
          <cell r="J28" t="str">
            <v>必修</v>
          </cell>
          <cell r="L28">
            <v>1</v>
          </cell>
          <cell r="M28">
            <v>32</v>
          </cell>
          <cell r="O28">
            <v>32</v>
          </cell>
          <cell r="P28">
            <v>1</v>
          </cell>
          <cell r="Q28">
            <v>2</v>
          </cell>
        </row>
        <row r="29">
          <cell r="D29" t="str">
            <v>创新创业类</v>
          </cell>
          <cell r="F29">
            <v>1</v>
          </cell>
          <cell r="G29" t="str">
            <v>023347P3</v>
          </cell>
          <cell r="H29" t="str">
            <v>创新创业教育</v>
          </cell>
          <cell r="I29" t="str">
            <v>Innovation and Entrepreneurship</v>
          </cell>
          <cell r="J29" t="str">
            <v>必修</v>
          </cell>
          <cell r="L29">
            <v>1</v>
          </cell>
          <cell r="M29">
            <v>16</v>
          </cell>
          <cell r="N29">
            <v>16</v>
          </cell>
          <cell r="P29">
            <v>4</v>
          </cell>
          <cell r="Q29">
            <v>1</v>
          </cell>
        </row>
        <row r="30">
          <cell r="D30" t="str">
            <v>创新创业类</v>
          </cell>
          <cell r="F30">
            <v>2</v>
          </cell>
          <cell r="G30" t="str">
            <v>593001F1</v>
          </cell>
          <cell r="H30" t="str">
            <v>创新创业教育实践</v>
          </cell>
          <cell r="I30" t="str">
            <v>Innovation and Entrepreneurship Practice</v>
          </cell>
          <cell r="J30" t="str">
            <v>必修</v>
          </cell>
          <cell r="L30">
            <v>1</v>
          </cell>
          <cell r="M30">
            <v>32</v>
          </cell>
          <cell r="O30">
            <v>32</v>
          </cell>
          <cell r="Q30">
            <v>2</v>
          </cell>
        </row>
        <row r="31">
          <cell r="D31" t="str">
            <v>劳动教育类</v>
          </cell>
          <cell r="F31">
            <v>1</v>
          </cell>
          <cell r="G31" t="str">
            <v>053016R1</v>
          </cell>
          <cell r="H31" t="str">
            <v>劳动教育</v>
          </cell>
          <cell r="I31" t="str">
            <v>Labor Education</v>
          </cell>
          <cell r="J31" t="str">
            <v>必修</v>
          </cell>
          <cell r="L31">
            <v>1</v>
          </cell>
          <cell r="M31">
            <v>16</v>
          </cell>
          <cell r="N31">
            <v>16</v>
          </cell>
          <cell r="P31">
            <v>3</v>
          </cell>
          <cell r="Q31">
            <v>1</v>
          </cell>
        </row>
        <row r="32">
          <cell r="D32" t="str">
            <v>劳动教育类</v>
          </cell>
          <cell r="F32">
            <v>2</v>
          </cell>
          <cell r="G32" t="str">
            <v>903007P1</v>
          </cell>
          <cell r="H32" t="str">
            <v>劳动教育实践</v>
          </cell>
          <cell r="I32" t="str">
            <v>Labor Education Practice</v>
          </cell>
          <cell r="J32" t="str">
            <v>必修</v>
          </cell>
          <cell r="L32">
            <v>1</v>
          </cell>
          <cell r="M32">
            <v>32</v>
          </cell>
          <cell r="O32">
            <v>32</v>
          </cell>
          <cell r="Q32">
            <v>2</v>
          </cell>
        </row>
        <row r="33">
          <cell r="D33" t="str">
            <v>美育类</v>
          </cell>
          <cell r="F33">
            <v>1</v>
          </cell>
          <cell r="G33" t="str">
            <v>见美育课程一览表</v>
          </cell>
          <cell r="H33" t="str">
            <v>美育课程</v>
          </cell>
          <cell r="I33" t="str">
            <v>Aesthetic Education Course</v>
          </cell>
          <cell r="J33" t="str">
            <v>限选</v>
          </cell>
          <cell r="L33">
            <v>2</v>
          </cell>
          <cell r="M33">
            <v>32</v>
          </cell>
          <cell r="N33">
            <v>32</v>
          </cell>
          <cell r="Q33">
            <v>2</v>
          </cell>
        </row>
        <row r="34">
          <cell r="D34" t="str">
            <v>其他类</v>
          </cell>
          <cell r="F34">
            <v>1</v>
          </cell>
          <cell r="G34" t="str">
            <v>903002Q1</v>
          </cell>
          <cell r="H34" t="str">
            <v>大学生职业规划</v>
          </cell>
          <cell r="I34" t="str">
            <v>Career Planning</v>
          </cell>
          <cell r="J34" t="str">
            <v>必修</v>
          </cell>
          <cell r="L34">
            <v>0.5</v>
          </cell>
          <cell r="M34">
            <v>8</v>
          </cell>
          <cell r="N34">
            <v>8</v>
          </cell>
          <cell r="P34">
            <v>1</v>
          </cell>
          <cell r="Q34">
            <v>2</v>
          </cell>
        </row>
        <row r="35">
          <cell r="D35" t="str">
            <v>其他类</v>
          </cell>
          <cell r="F35">
            <v>2</v>
          </cell>
          <cell r="G35" t="str">
            <v>903002Q2</v>
          </cell>
          <cell r="H35" t="str">
            <v>大学生就业指导</v>
          </cell>
          <cell r="I35" t="str">
            <v>Employment Guidance</v>
          </cell>
          <cell r="J35" t="str">
            <v>必修</v>
          </cell>
          <cell r="L35">
            <v>0.5</v>
          </cell>
          <cell r="M35">
            <v>8</v>
          </cell>
          <cell r="N35">
            <v>8</v>
          </cell>
          <cell r="P35">
            <v>6</v>
          </cell>
          <cell r="Q35">
            <v>2</v>
          </cell>
        </row>
        <row r="36">
          <cell r="D36" t="str">
            <v>其他类</v>
          </cell>
          <cell r="F36">
            <v>3</v>
          </cell>
          <cell r="G36" t="str">
            <v>902004P1</v>
          </cell>
          <cell r="H36" t="str">
            <v>大学生心理与保健</v>
          </cell>
          <cell r="I36" t="str">
            <v>Mental Health Consultation</v>
          </cell>
          <cell r="J36" t="str">
            <v>必修</v>
          </cell>
          <cell r="L36">
            <v>2</v>
          </cell>
          <cell r="M36">
            <v>32</v>
          </cell>
          <cell r="N36">
            <v>32</v>
          </cell>
          <cell r="P36">
            <v>1</v>
          </cell>
          <cell r="Q36">
            <v>2</v>
          </cell>
        </row>
        <row r="37">
          <cell r="D37" t="str">
            <v>素质拓展类</v>
          </cell>
          <cell r="F37">
            <v>1</v>
          </cell>
          <cell r="G37" t="str">
            <v>903008P1</v>
          </cell>
          <cell r="H37" t="str">
            <v>素质拓展</v>
          </cell>
          <cell r="J37" t="str">
            <v>必修</v>
          </cell>
          <cell r="L37">
            <v>1</v>
          </cell>
          <cell r="M37">
            <v>32</v>
          </cell>
          <cell r="O37">
            <v>32</v>
          </cell>
          <cell r="Q37">
            <v>2</v>
          </cell>
        </row>
        <row r="38">
          <cell r="D38" t="str">
            <v>通识选修课程</v>
          </cell>
          <cell r="F38">
            <v>1</v>
          </cell>
          <cell r="G38" t="str">
            <v>课程组</v>
          </cell>
          <cell r="H38" t="str">
            <v>人文素养类</v>
          </cell>
          <cell r="I38" t="str">
            <v>Humanities</v>
          </cell>
          <cell r="J38" t="str">
            <v>选修</v>
          </cell>
        </row>
        <row r="39">
          <cell r="D39" t="str">
            <v>通识选修课程</v>
          </cell>
          <cell r="F39">
            <v>2</v>
          </cell>
          <cell r="G39" t="str">
            <v>课程组</v>
          </cell>
          <cell r="H39" t="str">
            <v>社会经济类</v>
          </cell>
          <cell r="I39" t="str">
            <v>Sociology and Economics</v>
          </cell>
          <cell r="J39" t="str">
            <v>选修</v>
          </cell>
        </row>
        <row r="40">
          <cell r="D40" t="str">
            <v>通识选修课程</v>
          </cell>
          <cell r="F40">
            <v>3</v>
          </cell>
          <cell r="G40" t="str">
            <v>课程组</v>
          </cell>
          <cell r="H40" t="str">
            <v>工程技术类</v>
          </cell>
          <cell r="I40" t="str">
            <v>Engineering Technology</v>
          </cell>
          <cell r="J40" t="str">
            <v>选修</v>
          </cell>
        </row>
        <row r="41">
          <cell r="D41" t="str">
            <v>专业大类课程模块</v>
          </cell>
          <cell r="E41" t="str">
            <v>专业基础类</v>
          </cell>
          <cell r="F41">
            <v>1</v>
          </cell>
          <cell r="G41" t="str">
            <v>023013A1</v>
          </cell>
          <cell r="H41" t="str">
            <v>机械制图（1）</v>
          </cell>
          <cell r="I41" t="str">
            <v>Mechanical Drawing(1)</v>
          </cell>
          <cell r="J41" t="str">
            <v>必修</v>
          </cell>
          <cell r="K41" t="str">
            <v>考试</v>
          </cell>
          <cell r="L41">
            <v>3</v>
          </cell>
          <cell r="M41">
            <v>48</v>
          </cell>
          <cell r="N41">
            <v>48</v>
          </cell>
          <cell r="O41">
            <v>0</v>
          </cell>
          <cell r="P41">
            <v>1</v>
          </cell>
          <cell r="Q41">
            <v>3</v>
          </cell>
        </row>
        <row r="42">
          <cell r="D42" t="str">
            <v>专业大类课程模块</v>
          </cell>
          <cell r="E42" t="str">
            <v>专业基础类</v>
          </cell>
          <cell r="F42">
            <v>2</v>
          </cell>
          <cell r="G42" t="str">
            <v>023013A4</v>
          </cell>
          <cell r="H42" t="str">
            <v>机械制图（2）</v>
          </cell>
          <cell r="I42" t="str">
            <v>Mechanical Drawing(2)</v>
          </cell>
          <cell r="J42" t="str">
            <v>必修</v>
          </cell>
          <cell r="K42" t="str">
            <v>考试</v>
          </cell>
          <cell r="L42">
            <v>2.5</v>
          </cell>
          <cell r="M42">
            <v>40</v>
          </cell>
          <cell r="N42">
            <v>40</v>
          </cell>
          <cell r="O42">
            <v>0</v>
          </cell>
          <cell r="P42">
            <v>2</v>
          </cell>
          <cell r="Q42">
            <v>2.5</v>
          </cell>
        </row>
        <row r="43">
          <cell r="D43" t="str">
            <v>飞行器设计</v>
          </cell>
          <cell r="E43" t="str">
            <v>必修</v>
          </cell>
          <cell r="F43">
            <v>1</v>
          </cell>
          <cell r="G43" t="str">
            <v>023004B1</v>
          </cell>
          <cell r="H43" t="str">
            <v>机械原理</v>
          </cell>
          <cell r="I43" t="str">
            <v>Mechanisms and Machine Theory</v>
          </cell>
          <cell r="J43" t="str">
            <v>必修</v>
          </cell>
          <cell r="K43" t="str">
            <v>考试</v>
          </cell>
          <cell r="L43">
            <v>3</v>
          </cell>
          <cell r="M43">
            <v>48</v>
          </cell>
          <cell r="N43">
            <v>42</v>
          </cell>
          <cell r="O43">
            <v>6</v>
          </cell>
          <cell r="P43">
            <v>4</v>
          </cell>
          <cell r="Q43">
            <v>3</v>
          </cell>
        </row>
        <row r="44">
          <cell r="D44" t="str">
            <v>飞行器设计</v>
          </cell>
          <cell r="E44" t="str">
            <v>必修</v>
          </cell>
          <cell r="F44">
            <v>2</v>
          </cell>
          <cell r="G44" t="str">
            <v>023003A1</v>
          </cell>
          <cell r="H44" t="str">
            <v>机械设计</v>
          </cell>
          <cell r="I44" t="str">
            <v>Machine Design</v>
          </cell>
          <cell r="J44" t="str">
            <v>必修</v>
          </cell>
          <cell r="K44" t="str">
            <v>考试</v>
          </cell>
          <cell r="L44">
            <v>4</v>
          </cell>
          <cell r="M44">
            <v>64</v>
          </cell>
          <cell r="N44">
            <v>58</v>
          </cell>
          <cell r="O44">
            <v>6</v>
          </cell>
          <cell r="P44">
            <v>5</v>
          </cell>
          <cell r="Q44">
            <v>4</v>
          </cell>
        </row>
        <row r="45">
          <cell r="D45" t="str">
            <v>专业大类课程模块</v>
          </cell>
          <cell r="E45" t="str">
            <v>数学与自然科学类</v>
          </cell>
          <cell r="F45">
            <v>10</v>
          </cell>
          <cell r="G45" t="str">
            <v>023141P1</v>
          </cell>
          <cell r="H45" t="str">
            <v>热力学与传热学基础</v>
          </cell>
          <cell r="I45" t="str">
            <v>Fundamentals of Thermodynamics and Heat Transfer</v>
          </cell>
          <cell r="J45" t="str">
            <v>必修</v>
          </cell>
          <cell r="K45" t="str">
            <v>考查</v>
          </cell>
          <cell r="L45">
            <v>1.5</v>
          </cell>
          <cell r="M45">
            <v>24</v>
          </cell>
          <cell r="N45">
            <v>24</v>
          </cell>
          <cell r="O45">
            <v>0</v>
          </cell>
          <cell r="P45">
            <v>5</v>
          </cell>
          <cell r="Q45">
            <v>1.5</v>
          </cell>
        </row>
        <row r="46">
          <cell r="D46" t="str">
            <v>飞行器设计</v>
          </cell>
          <cell r="E46" t="str">
            <v>选修</v>
          </cell>
          <cell r="F46">
            <v>3</v>
          </cell>
          <cell r="G46" t="str">
            <v>023440A1</v>
          </cell>
          <cell r="H46" t="str">
            <v>流体力学与液压气压传动</v>
          </cell>
          <cell r="I46" t="str">
            <v>Fluid Mechanics and Hydraulic &amp; Pneumatic Transmission</v>
          </cell>
          <cell r="J46" t="str">
            <v>选修</v>
          </cell>
          <cell r="K46" t="str">
            <v>考试</v>
          </cell>
          <cell r="L46">
            <v>2</v>
          </cell>
          <cell r="M46">
            <v>32</v>
          </cell>
          <cell r="N46">
            <v>26</v>
          </cell>
          <cell r="O46">
            <v>6</v>
          </cell>
          <cell r="P46">
            <v>5</v>
          </cell>
          <cell r="Q46">
            <v>2</v>
          </cell>
        </row>
        <row r="47">
          <cell r="D47" t="str">
            <v>飞行器设计</v>
          </cell>
          <cell r="E47" t="str">
            <v>选修</v>
          </cell>
          <cell r="F47">
            <v>1</v>
          </cell>
          <cell r="H47" t="str">
            <v>航空发动机原理及构造</v>
          </cell>
          <cell r="I47" t="str">
            <v>Principle and Structure of Aero-engine</v>
          </cell>
          <cell r="J47" t="str">
            <v>选修</v>
          </cell>
          <cell r="K47" t="str">
            <v>考试</v>
          </cell>
          <cell r="L47">
            <v>2</v>
          </cell>
          <cell r="M47">
            <v>32</v>
          </cell>
          <cell r="N47">
            <v>32</v>
          </cell>
          <cell r="O47">
            <v>0</v>
          </cell>
          <cell r="P47">
            <v>6</v>
          </cell>
          <cell r="Q47">
            <v>2</v>
          </cell>
        </row>
        <row r="48">
          <cell r="D48" t="str">
            <v>飞行器设计</v>
          </cell>
          <cell r="E48" t="str">
            <v>选修</v>
          </cell>
          <cell r="F48">
            <v>2</v>
          </cell>
          <cell r="H48" t="str">
            <v>空气动力学基础</v>
          </cell>
          <cell r="I48" t="str">
            <v>Aerodynamic Foundation</v>
          </cell>
          <cell r="J48" t="str">
            <v>选修</v>
          </cell>
          <cell r="K48" t="str">
            <v>考查</v>
          </cell>
          <cell r="L48">
            <v>2</v>
          </cell>
          <cell r="M48">
            <v>32</v>
          </cell>
          <cell r="N48">
            <v>32</v>
          </cell>
          <cell r="O48">
            <v>0</v>
          </cell>
          <cell r="P48">
            <v>6</v>
          </cell>
          <cell r="Q48">
            <v>2</v>
          </cell>
        </row>
        <row r="49">
          <cell r="D49" t="str">
            <v>飞行器制造</v>
          </cell>
          <cell r="E49" t="str">
            <v>必修</v>
          </cell>
          <cell r="F49">
            <v>5</v>
          </cell>
          <cell r="H49" t="str">
            <v>飞机结构与原理</v>
          </cell>
          <cell r="I49" t="str">
            <v>Aircraft Structure and Principle</v>
          </cell>
          <cell r="J49" t="str">
            <v>必修</v>
          </cell>
          <cell r="K49" t="str">
            <v>考试</v>
          </cell>
          <cell r="L49">
            <v>2</v>
          </cell>
          <cell r="M49">
            <v>32</v>
          </cell>
          <cell r="N49">
            <v>28</v>
          </cell>
          <cell r="O49">
            <v>4</v>
          </cell>
          <cell r="P49">
            <v>5</v>
          </cell>
          <cell r="Q49">
            <v>2</v>
          </cell>
        </row>
        <row r="50">
          <cell r="D50" t="str">
            <v>飞行器制造</v>
          </cell>
          <cell r="E50" t="str">
            <v>必修</v>
          </cell>
          <cell r="F50">
            <v>1</v>
          </cell>
          <cell r="H50" t="str">
            <v>专业导论</v>
          </cell>
          <cell r="I50" t="str">
            <v>Introduction to Professional</v>
          </cell>
          <cell r="J50" t="str">
            <v>必修</v>
          </cell>
          <cell r="K50" t="str">
            <v>考查</v>
          </cell>
          <cell r="L50">
            <v>1</v>
          </cell>
          <cell r="M50">
            <v>16</v>
          </cell>
          <cell r="N50">
            <v>16</v>
          </cell>
          <cell r="O50">
            <v>0</v>
          </cell>
          <cell r="P50">
            <v>1</v>
          </cell>
          <cell r="Q50">
            <v>1</v>
          </cell>
        </row>
        <row r="51">
          <cell r="D51" t="str">
            <v>专业大类课程模块</v>
          </cell>
          <cell r="E51" t="str">
            <v>工程基础类</v>
          </cell>
          <cell r="F51">
            <v>1</v>
          </cell>
          <cell r="G51" t="str">
            <v>023005A2</v>
          </cell>
          <cell r="H51" t="str">
            <v>理论力学</v>
          </cell>
          <cell r="I51" t="str">
            <v>Theoretical Mechanics</v>
          </cell>
          <cell r="J51" t="str">
            <v>必修</v>
          </cell>
          <cell r="K51" t="str">
            <v>考试</v>
          </cell>
          <cell r="L51">
            <v>2.5</v>
          </cell>
          <cell r="M51">
            <v>40</v>
          </cell>
          <cell r="N51">
            <v>40</v>
          </cell>
          <cell r="O51">
            <v>0</v>
          </cell>
          <cell r="P51">
            <v>3</v>
          </cell>
          <cell r="Q51">
            <v>2.5</v>
          </cell>
        </row>
        <row r="52">
          <cell r="D52" t="str">
            <v>专业大类课程模块</v>
          </cell>
          <cell r="E52" t="str">
            <v>工程基础类</v>
          </cell>
          <cell r="F52">
            <v>2</v>
          </cell>
          <cell r="G52" t="str">
            <v>023001A2</v>
          </cell>
          <cell r="H52" t="str">
            <v>材料力学</v>
          </cell>
          <cell r="I52" t="str">
            <v>Mechanics of Materials</v>
          </cell>
          <cell r="J52" t="str">
            <v>必修</v>
          </cell>
          <cell r="K52" t="str">
            <v>考试</v>
          </cell>
          <cell r="L52">
            <v>2.5</v>
          </cell>
          <cell r="M52">
            <v>40</v>
          </cell>
          <cell r="N52">
            <v>36</v>
          </cell>
          <cell r="O52">
            <v>4</v>
          </cell>
          <cell r="P52">
            <v>4</v>
          </cell>
          <cell r="Q52">
            <v>2.5</v>
          </cell>
        </row>
        <row r="53">
          <cell r="D53" t="str">
            <v>专业大类课程模块</v>
          </cell>
          <cell r="E53" t="str">
            <v>工程基础类</v>
          </cell>
          <cell r="F53">
            <v>3</v>
          </cell>
          <cell r="G53" t="str">
            <v>023455P1</v>
          </cell>
          <cell r="H53" t="str">
            <v>工程材料及热处理</v>
          </cell>
          <cell r="I53" t="str">
            <v>Engineering Materials and Heat Treatment</v>
          </cell>
          <cell r="J53" t="str">
            <v>必修</v>
          </cell>
          <cell r="K53" t="str">
            <v>考查</v>
          </cell>
          <cell r="L53">
            <v>2.5</v>
          </cell>
          <cell r="M53">
            <v>40</v>
          </cell>
          <cell r="N53">
            <v>36</v>
          </cell>
          <cell r="O53">
            <v>4</v>
          </cell>
          <cell r="P53">
            <v>3</v>
          </cell>
          <cell r="Q53">
            <v>2.5</v>
          </cell>
        </row>
        <row r="54">
          <cell r="D54" t="str">
            <v>飞行器制造</v>
          </cell>
          <cell r="E54" t="str">
            <v>必修</v>
          </cell>
          <cell r="F54">
            <v>2</v>
          </cell>
          <cell r="H54" t="str">
            <v>飞行器制造技术基础</v>
          </cell>
          <cell r="I54" t="str">
            <v>Technical basis of aircraft manufacturing</v>
          </cell>
          <cell r="J54" t="str">
            <v>必修</v>
          </cell>
          <cell r="K54" t="str">
            <v>考试</v>
          </cell>
          <cell r="L54">
            <v>2</v>
          </cell>
          <cell r="M54">
            <v>32</v>
          </cell>
          <cell r="N54">
            <v>28</v>
          </cell>
          <cell r="O54">
            <v>4</v>
          </cell>
          <cell r="P54">
            <v>4</v>
          </cell>
          <cell r="Q54">
            <v>2</v>
          </cell>
          <cell r="S54" t="str">
            <v>材料力学</v>
          </cell>
        </row>
        <row r="55">
          <cell r="D55" t="str">
            <v>飞行器制造</v>
          </cell>
          <cell r="E55" t="str">
            <v>必修</v>
          </cell>
          <cell r="F55">
            <v>3</v>
          </cell>
          <cell r="H55" t="str">
            <v>飞机数字化制造理论与技术</v>
          </cell>
          <cell r="I55" t="str">
            <v>Theory and Technology of Aircraft Digital Manufacturing</v>
          </cell>
          <cell r="J55" t="str">
            <v>必修</v>
          </cell>
          <cell r="K55" t="str">
            <v>考试</v>
          </cell>
          <cell r="L55">
            <v>1.5</v>
          </cell>
          <cell r="M55">
            <v>24</v>
          </cell>
          <cell r="N55">
            <v>20</v>
          </cell>
          <cell r="O55">
            <v>4</v>
          </cell>
          <cell r="P55">
            <v>6</v>
          </cell>
          <cell r="Q55">
            <v>1.5</v>
          </cell>
        </row>
        <row r="56">
          <cell r="D56" t="str">
            <v>飞行器制造</v>
          </cell>
          <cell r="E56" t="str">
            <v>必修</v>
          </cell>
          <cell r="F56">
            <v>4</v>
          </cell>
          <cell r="G56" t="str">
            <v>023106A1</v>
          </cell>
          <cell r="H56" t="str">
            <v>数控技术</v>
          </cell>
          <cell r="I56" t="str">
            <v>NC Technology</v>
          </cell>
          <cell r="J56" t="str">
            <v>必修</v>
          </cell>
          <cell r="K56" t="str">
            <v>考试</v>
          </cell>
          <cell r="L56">
            <v>3</v>
          </cell>
          <cell r="M56">
            <v>48</v>
          </cell>
          <cell r="N56">
            <v>44</v>
          </cell>
          <cell r="O56">
            <v>4</v>
          </cell>
          <cell r="P56">
            <v>6</v>
          </cell>
          <cell r="Q56">
            <v>3</v>
          </cell>
        </row>
        <row r="57">
          <cell r="D57" t="str">
            <v>飞行器制造</v>
          </cell>
          <cell r="E57" t="str">
            <v>选修</v>
          </cell>
          <cell r="F57">
            <v>1</v>
          </cell>
          <cell r="H57" t="str">
            <v>飞行器特种加工</v>
          </cell>
          <cell r="I57" t="str">
            <v>Aircraft Special Processing</v>
          </cell>
          <cell r="J57" t="str">
            <v>选修</v>
          </cell>
          <cell r="K57" t="str">
            <v>考查</v>
          </cell>
          <cell r="L57">
            <v>2</v>
          </cell>
          <cell r="M57">
            <v>32</v>
          </cell>
          <cell r="N57">
            <v>16</v>
          </cell>
          <cell r="O57">
            <v>16</v>
          </cell>
          <cell r="P57">
            <v>7</v>
          </cell>
          <cell r="Q57">
            <v>2</v>
          </cell>
        </row>
        <row r="58">
          <cell r="D58" t="str">
            <v>飞行器制造</v>
          </cell>
          <cell r="E58" t="str">
            <v>选修</v>
          </cell>
          <cell r="F58">
            <v>2</v>
          </cell>
          <cell r="H58" t="str">
            <v>复合材料成型原理与工艺</v>
          </cell>
          <cell r="I58" t="str">
            <v>Forming Principle and Process of Composite Material</v>
          </cell>
          <cell r="J58" t="str">
            <v>选修</v>
          </cell>
          <cell r="K58" t="str">
            <v>考查</v>
          </cell>
          <cell r="L58">
            <v>2</v>
          </cell>
          <cell r="M58">
            <v>32</v>
          </cell>
          <cell r="N58">
            <v>24</v>
          </cell>
          <cell r="O58">
            <v>8</v>
          </cell>
          <cell r="P58">
            <v>5</v>
          </cell>
          <cell r="Q58">
            <v>2</v>
          </cell>
        </row>
        <row r="59">
          <cell r="D59" t="str">
            <v>专业大类课程模块</v>
          </cell>
          <cell r="E59" t="str">
            <v>专业基础类</v>
          </cell>
          <cell r="F59">
            <v>6</v>
          </cell>
          <cell r="G59" t="str">
            <v>013016B1</v>
          </cell>
          <cell r="H59" t="str">
            <v>电工电子技术</v>
          </cell>
          <cell r="I59" t="str">
            <v>Electrical and Electronic Technology</v>
          </cell>
          <cell r="J59" t="str">
            <v>必修</v>
          </cell>
          <cell r="K59" t="str">
            <v>考试</v>
          </cell>
          <cell r="L59">
            <v>4</v>
          </cell>
          <cell r="M59">
            <v>64</v>
          </cell>
          <cell r="N59">
            <v>56</v>
          </cell>
          <cell r="O59">
            <v>8</v>
          </cell>
          <cell r="P59">
            <v>4</v>
          </cell>
          <cell r="Q59">
            <v>4</v>
          </cell>
        </row>
        <row r="60">
          <cell r="D60" t="str">
            <v>专业大类课程模块</v>
          </cell>
          <cell r="E60" t="str">
            <v>专业基础类</v>
          </cell>
          <cell r="F60">
            <v>3</v>
          </cell>
          <cell r="G60" t="str">
            <v>023002P1</v>
          </cell>
          <cell r="H60" t="str">
            <v>互换性与技术测量</v>
          </cell>
          <cell r="I60" t="str">
            <v>Interchangeability and Measurement Technology</v>
          </cell>
          <cell r="J60" t="str">
            <v>必修</v>
          </cell>
          <cell r="K60" t="str">
            <v>考查</v>
          </cell>
          <cell r="L60">
            <v>2</v>
          </cell>
          <cell r="M60">
            <v>32</v>
          </cell>
          <cell r="N60">
            <v>24</v>
          </cell>
          <cell r="O60">
            <v>8</v>
          </cell>
          <cell r="P60">
            <v>3</v>
          </cell>
          <cell r="Q60">
            <v>2</v>
          </cell>
        </row>
        <row r="61">
          <cell r="D61" t="str">
            <v>制造自动化与管理</v>
          </cell>
          <cell r="E61" t="str">
            <v>必修</v>
          </cell>
          <cell r="F61">
            <v>1</v>
          </cell>
          <cell r="G61" t="str">
            <v>023167P2</v>
          </cell>
          <cell r="H61" t="str">
            <v>控制工程基础</v>
          </cell>
          <cell r="I61" t="str">
            <v>Fundamentals of Control Engineering</v>
          </cell>
          <cell r="J61" t="str">
            <v>必修</v>
          </cell>
          <cell r="K61" t="str">
            <v>考试</v>
          </cell>
          <cell r="L61">
            <v>2</v>
          </cell>
          <cell r="M61">
            <v>32</v>
          </cell>
          <cell r="N61">
            <v>28</v>
          </cell>
          <cell r="O61">
            <v>4</v>
          </cell>
          <cell r="P61">
            <v>5</v>
          </cell>
          <cell r="Q61">
            <v>2</v>
          </cell>
        </row>
        <row r="62">
          <cell r="D62" t="str">
            <v>制造自动化与管理</v>
          </cell>
          <cell r="E62" t="str">
            <v>必修</v>
          </cell>
          <cell r="F62">
            <v>2</v>
          </cell>
          <cell r="G62" t="str">
            <v>023006A3</v>
          </cell>
          <cell r="H62" t="str">
            <v>传感与检测技术</v>
          </cell>
          <cell r="I62" t="str">
            <v>Sensing and Detection Technology</v>
          </cell>
          <cell r="J62" t="str">
            <v>必修</v>
          </cell>
          <cell r="K62" t="str">
            <v>考试</v>
          </cell>
          <cell r="L62">
            <v>2</v>
          </cell>
          <cell r="M62">
            <v>32</v>
          </cell>
          <cell r="N62">
            <v>28</v>
          </cell>
          <cell r="O62">
            <v>4</v>
          </cell>
          <cell r="P62">
            <v>5</v>
          </cell>
          <cell r="Q62">
            <v>2</v>
          </cell>
        </row>
        <row r="63">
          <cell r="D63" t="str">
            <v>制造自动化与管理</v>
          </cell>
          <cell r="E63" t="str">
            <v>必修</v>
          </cell>
          <cell r="F63">
            <v>3</v>
          </cell>
          <cell r="G63" t="str">
            <v xml:space="preserve">023176P5 </v>
          </cell>
          <cell r="H63" t="str">
            <v>项目管理与经济分析</v>
          </cell>
          <cell r="I63" t="str">
            <v>Project Management and Economic Analysis</v>
          </cell>
          <cell r="J63" t="str">
            <v>必修</v>
          </cell>
          <cell r="K63" t="str">
            <v>考查</v>
          </cell>
          <cell r="L63">
            <v>1.5</v>
          </cell>
          <cell r="M63">
            <v>24</v>
          </cell>
          <cell r="N63">
            <v>24</v>
          </cell>
          <cell r="O63">
            <v>0</v>
          </cell>
          <cell r="P63">
            <v>7</v>
          </cell>
          <cell r="Q63">
            <v>1.5</v>
          </cell>
        </row>
        <row r="64">
          <cell r="D64" t="str">
            <v>专业大类课程模块</v>
          </cell>
          <cell r="E64" t="str">
            <v>专业基础类</v>
          </cell>
          <cell r="F64">
            <v>4</v>
          </cell>
          <cell r="G64" t="str">
            <v>033032G1</v>
          </cell>
          <cell r="H64" t="str">
            <v>高级语言程序设计基础</v>
          </cell>
          <cell r="I64" t="str">
            <v>Fundamentals of Advanced  Language Programming</v>
          </cell>
          <cell r="J64" t="str">
            <v>必修</v>
          </cell>
          <cell r="K64" t="str">
            <v>考试</v>
          </cell>
          <cell r="L64">
            <v>2</v>
          </cell>
          <cell r="M64">
            <v>32</v>
          </cell>
          <cell r="N64">
            <v>32</v>
          </cell>
          <cell r="O64">
            <v>0</v>
          </cell>
          <cell r="P64">
            <v>2</v>
          </cell>
          <cell r="Q64">
            <v>2</v>
          </cell>
        </row>
        <row r="65">
          <cell r="D65" t="str">
            <v>制造自动化与管理</v>
          </cell>
          <cell r="E65" t="str">
            <v>选修</v>
          </cell>
          <cell r="F65">
            <v>1</v>
          </cell>
          <cell r="H65" t="str">
            <v>飞行器加工质量控制</v>
          </cell>
          <cell r="I65" t="str">
            <v>Aircraft Processing Quality Control</v>
          </cell>
          <cell r="J65" t="str">
            <v>选修</v>
          </cell>
          <cell r="K65" t="str">
            <v>考查</v>
          </cell>
          <cell r="L65">
            <v>2</v>
          </cell>
          <cell r="M65">
            <v>32</v>
          </cell>
          <cell r="N65">
            <v>28</v>
          </cell>
          <cell r="O65">
            <v>4</v>
          </cell>
          <cell r="P65">
            <v>7</v>
          </cell>
          <cell r="Q65">
            <v>2</v>
          </cell>
        </row>
        <row r="66">
          <cell r="D66" t="str">
            <v>制造自动化与管理</v>
          </cell>
          <cell r="E66" t="str">
            <v>选修</v>
          </cell>
          <cell r="F66">
            <v>2</v>
          </cell>
          <cell r="G66" t="str">
            <v>023032P1</v>
          </cell>
          <cell r="H66" t="str">
            <v>工业机器人</v>
          </cell>
          <cell r="I66" t="str">
            <v>Industrial Robot</v>
          </cell>
          <cell r="J66" t="str">
            <v>选修</v>
          </cell>
          <cell r="K66" t="str">
            <v>考查</v>
          </cell>
          <cell r="L66">
            <v>2</v>
          </cell>
          <cell r="M66">
            <v>32</v>
          </cell>
          <cell r="N66">
            <v>24</v>
          </cell>
          <cell r="O66">
            <v>8</v>
          </cell>
          <cell r="P66">
            <v>7</v>
          </cell>
          <cell r="Q66">
            <v>2</v>
          </cell>
        </row>
        <row r="67">
          <cell r="D67" t="str">
            <v>制造自动化与管理</v>
          </cell>
          <cell r="E67" t="str">
            <v>必修</v>
          </cell>
          <cell r="F67">
            <v>4</v>
          </cell>
          <cell r="H67" t="str">
            <v>航空维修工程学</v>
          </cell>
          <cell r="I67" t="str">
            <v>Aviation Maintenance Engineering</v>
          </cell>
          <cell r="J67" t="str">
            <v>必修</v>
          </cell>
          <cell r="K67" t="str">
            <v>考查</v>
          </cell>
          <cell r="L67">
            <v>2</v>
          </cell>
          <cell r="M67">
            <v>32</v>
          </cell>
          <cell r="N67">
            <v>24</v>
          </cell>
          <cell r="O67">
            <v>8</v>
          </cell>
          <cell r="P67">
            <v>7</v>
          </cell>
          <cell r="Q67">
            <v>2</v>
          </cell>
        </row>
        <row r="68">
          <cell r="D68" t="str">
            <v>专业大类课程模块</v>
          </cell>
          <cell r="E68" t="str">
            <v>数学与自然科学类</v>
          </cell>
          <cell r="F68">
            <v>1</v>
          </cell>
          <cell r="G68" t="str">
            <v>533089A1</v>
          </cell>
          <cell r="H68" t="str">
            <v>高等数学A（1）</v>
          </cell>
          <cell r="I68" t="str">
            <v>Advanced Mathematics A(1)</v>
          </cell>
          <cell r="J68" t="str">
            <v>必修</v>
          </cell>
          <cell r="K68" t="str">
            <v>考试</v>
          </cell>
          <cell r="L68">
            <v>5</v>
          </cell>
          <cell r="M68">
            <v>80</v>
          </cell>
          <cell r="N68">
            <v>80</v>
          </cell>
          <cell r="O68">
            <v>0</v>
          </cell>
          <cell r="P68">
            <v>1</v>
          </cell>
          <cell r="Q68">
            <v>5</v>
          </cell>
        </row>
        <row r="69">
          <cell r="D69" t="str">
            <v>专业大类课程模块</v>
          </cell>
          <cell r="E69" t="str">
            <v>数学与自然科学类</v>
          </cell>
          <cell r="F69">
            <v>2</v>
          </cell>
          <cell r="G69" t="str">
            <v>533089A2</v>
          </cell>
          <cell r="H69" t="str">
            <v>高等数学A（2）</v>
          </cell>
          <cell r="I69" t="str">
            <v>Advanced Mathematics A(2)</v>
          </cell>
          <cell r="J69" t="str">
            <v>必修</v>
          </cell>
          <cell r="K69" t="str">
            <v>考试</v>
          </cell>
          <cell r="L69">
            <v>6</v>
          </cell>
          <cell r="M69">
            <v>96</v>
          </cell>
          <cell r="N69">
            <v>96</v>
          </cell>
          <cell r="O69">
            <v>0</v>
          </cell>
          <cell r="P69">
            <v>2</v>
          </cell>
          <cell r="Q69">
            <v>6</v>
          </cell>
        </row>
        <row r="70">
          <cell r="D70" t="str">
            <v>专业大类课程模块</v>
          </cell>
          <cell r="E70" t="str">
            <v>数学与自然科学类</v>
          </cell>
          <cell r="F70">
            <v>3</v>
          </cell>
          <cell r="G70" t="str">
            <v>533091B1</v>
          </cell>
          <cell r="H70" t="str">
            <v>线性代数B</v>
          </cell>
          <cell r="I70" t="str">
            <v>Linear Algebra B</v>
          </cell>
          <cell r="J70" t="str">
            <v>必修</v>
          </cell>
          <cell r="K70" t="str">
            <v>考查</v>
          </cell>
          <cell r="L70">
            <v>2</v>
          </cell>
          <cell r="M70">
            <v>32</v>
          </cell>
          <cell r="N70">
            <v>32</v>
          </cell>
          <cell r="O70">
            <v>0</v>
          </cell>
          <cell r="P70">
            <v>3</v>
          </cell>
          <cell r="Q70">
            <v>2</v>
          </cell>
        </row>
        <row r="71">
          <cell r="D71" t="str">
            <v>专业大类课程模块</v>
          </cell>
          <cell r="E71" t="str">
            <v>数学与自然科学类</v>
          </cell>
          <cell r="F71">
            <v>4</v>
          </cell>
          <cell r="G71" t="str">
            <v>533047B1</v>
          </cell>
          <cell r="H71" t="str">
            <v>概率论与数理统计B</v>
          </cell>
          <cell r="I71" t="str">
            <v>Probability Theory and Mathematical Statistics B</v>
          </cell>
          <cell r="J71" t="str">
            <v>必修</v>
          </cell>
          <cell r="K71" t="str">
            <v>考查</v>
          </cell>
          <cell r="L71">
            <v>2</v>
          </cell>
          <cell r="M71">
            <v>32</v>
          </cell>
          <cell r="N71">
            <v>32</v>
          </cell>
          <cell r="O71">
            <v>0</v>
          </cell>
          <cell r="P71">
            <v>5</v>
          </cell>
          <cell r="Q71">
            <v>2</v>
          </cell>
        </row>
        <row r="72">
          <cell r="D72" t="str">
            <v>专业大类课程模块</v>
          </cell>
          <cell r="E72" t="str">
            <v>数学与自然科学类</v>
          </cell>
          <cell r="F72">
            <v>5</v>
          </cell>
          <cell r="G72" t="str">
            <v>533008G1</v>
          </cell>
          <cell r="H72" t="str">
            <v>大学物理B（1）</v>
          </cell>
          <cell r="I72" t="str">
            <v>College Physics B（1）</v>
          </cell>
          <cell r="J72" t="str">
            <v>必修</v>
          </cell>
          <cell r="K72" t="str">
            <v>考试</v>
          </cell>
          <cell r="L72">
            <v>4</v>
          </cell>
          <cell r="M72">
            <v>64</v>
          </cell>
          <cell r="N72">
            <v>64</v>
          </cell>
          <cell r="O72">
            <v>0</v>
          </cell>
          <cell r="P72">
            <v>2</v>
          </cell>
          <cell r="Q72">
            <v>4</v>
          </cell>
        </row>
        <row r="73">
          <cell r="D73" t="str">
            <v>专业大类课程模块</v>
          </cell>
          <cell r="E73" t="str">
            <v>数学与自然科学类</v>
          </cell>
          <cell r="F73">
            <v>6</v>
          </cell>
          <cell r="G73" t="str">
            <v>533008G2</v>
          </cell>
          <cell r="H73" t="str">
            <v>大学物理B（2）</v>
          </cell>
          <cell r="I73" t="str">
            <v>College Physics B（2）</v>
          </cell>
          <cell r="J73" t="str">
            <v>必修</v>
          </cell>
          <cell r="K73" t="str">
            <v>考试</v>
          </cell>
          <cell r="L73">
            <v>3</v>
          </cell>
          <cell r="M73">
            <v>48</v>
          </cell>
          <cell r="N73">
            <v>48</v>
          </cell>
          <cell r="O73">
            <v>0</v>
          </cell>
          <cell r="P73">
            <v>3</v>
          </cell>
          <cell r="Q73">
            <v>3</v>
          </cell>
        </row>
        <row r="74">
          <cell r="D74" t="str">
            <v>专业大类课程模块</v>
          </cell>
          <cell r="E74" t="str">
            <v>数学与自然科学类</v>
          </cell>
          <cell r="F74">
            <v>7</v>
          </cell>
          <cell r="G74" t="str">
            <v>533009B1</v>
          </cell>
          <cell r="H74" t="str">
            <v>大学物理实验B（1）</v>
          </cell>
          <cell r="I74" t="str">
            <v>College Physics Experiment B(1)</v>
          </cell>
          <cell r="J74" t="str">
            <v>必修</v>
          </cell>
          <cell r="K74" t="str">
            <v>考查</v>
          </cell>
          <cell r="L74">
            <v>0.5</v>
          </cell>
          <cell r="M74">
            <v>16</v>
          </cell>
          <cell r="N74">
            <v>0</v>
          </cell>
          <cell r="O74">
            <v>16</v>
          </cell>
          <cell r="P74">
            <v>2</v>
          </cell>
          <cell r="Q74">
            <v>0.5</v>
          </cell>
        </row>
        <row r="75">
          <cell r="D75" t="str">
            <v>专业大类课程模块</v>
          </cell>
          <cell r="E75" t="str">
            <v>数学与自然科学类</v>
          </cell>
          <cell r="F75">
            <v>8</v>
          </cell>
          <cell r="G75" t="str">
            <v>533009B2</v>
          </cell>
          <cell r="H75" t="str">
            <v>大学物理实验B（2）</v>
          </cell>
          <cell r="I75" t="str">
            <v>College Physics Experiment B(2)</v>
          </cell>
          <cell r="J75" t="str">
            <v>必修</v>
          </cell>
          <cell r="K75" t="str">
            <v>考查</v>
          </cell>
          <cell r="L75">
            <v>0.5</v>
          </cell>
          <cell r="M75">
            <v>16</v>
          </cell>
          <cell r="N75">
            <v>0</v>
          </cell>
          <cell r="O75">
            <v>16</v>
          </cell>
          <cell r="P75">
            <v>3</v>
          </cell>
          <cell r="Q75">
            <v>0.5</v>
          </cell>
        </row>
        <row r="76">
          <cell r="D76" t="str">
            <v>专业大类课程模块</v>
          </cell>
          <cell r="E76" t="str">
            <v>数学与自然科学类</v>
          </cell>
          <cell r="F76">
            <v>9</v>
          </cell>
          <cell r="G76" t="str">
            <v>023243P1</v>
          </cell>
          <cell r="H76" t="str">
            <v>普通化学</v>
          </cell>
          <cell r="I76" t="str">
            <v>General Chemistry</v>
          </cell>
          <cell r="J76" t="str">
            <v>必修</v>
          </cell>
          <cell r="K76" t="str">
            <v>考查</v>
          </cell>
          <cell r="L76">
            <v>2</v>
          </cell>
          <cell r="M76">
            <v>32</v>
          </cell>
          <cell r="N76">
            <v>32</v>
          </cell>
          <cell r="O76">
            <v>0</v>
          </cell>
          <cell r="P76">
            <v>6</v>
          </cell>
          <cell r="Q76">
            <v>2</v>
          </cell>
        </row>
        <row r="77">
          <cell r="D77" t="str">
            <v>综合实践环节</v>
          </cell>
          <cell r="F77">
            <v>1</v>
          </cell>
          <cell r="G77" t="str">
            <v>023014Q1</v>
          </cell>
          <cell r="H77" t="str">
            <v>机械制图测绘</v>
          </cell>
          <cell r="I77" t="str">
            <v>Mechanical Drawing</v>
          </cell>
          <cell r="J77" t="str">
            <v>必修</v>
          </cell>
          <cell r="K77" t="str">
            <v>考查</v>
          </cell>
          <cell r="L77">
            <v>1</v>
          </cell>
          <cell r="M77">
            <v>20</v>
          </cell>
          <cell r="N77">
            <v>0</v>
          </cell>
          <cell r="O77">
            <v>20</v>
          </cell>
          <cell r="P77">
            <v>2</v>
          </cell>
          <cell r="Q77" t="str">
            <v>+1</v>
          </cell>
        </row>
        <row r="78">
          <cell r="D78" t="str">
            <v>综合实践环节</v>
          </cell>
          <cell r="F78">
            <v>2</v>
          </cell>
          <cell r="H78" t="str">
            <v>认识实习</v>
          </cell>
          <cell r="I78" t="str">
            <v>Cognition Practice</v>
          </cell>
          <cell r="J78" t="str">
            <v>必修</v>
          </cell>
          <cell r="K78" t="str">
            <v>考查</v>
          </cell>
          <cell r="L78">
            <v>1</v>
          </cell>
          <cell r="M78">
            <v>20</v>
          </cell>
          <cell r="N78">
            <v>0</v>
          </cell>
          <cell r="O78">
            <v>20</v>
          </cell>
          <cell r="P78">
            <v>2</v>
          </cell>
          <cell r="Q78" t="str">
            <v>+1</v>
          </cell>
        </row>
        <row r="79">
          <cell r="D79" t="str">
            <v>综合实践环节</v>
          </cell>
          <cell r="F79">
            <v>3</v>
          </cell>
          <cell r="G79" t="str">
            <v>593001X1</v>
          </cell>
          <cell r="H79" t="str">
            <v>工科基本训练（钳工）</v>
          </cell>
          <cell r="I79" t="str">
            <v>Engineering  BasicTraining(Turning and Benching)</v>
          </cell>
          <cell r="J79" t="str">
            <v>必修</v>
          </cell>
          <cell r="K79" t="str">
            <v>考查</v>
          </cell>
          <cell r="L79">
            <v>1</v>
          </cell>
          <cell r="M79">
            <v>32</v>
          </cell>
          <cell r="N79">
            <v>0</v>
          </cell>
          <cell r="O79">
            <v>32</v>
          </cell>
          <cell r="P79">
            <v>3</v>
          </cell>
          <cell r="Q79">
            <v>2</v>
          </cell>
        </row>
        <row r="80">
          <cell r="D80" t="str">
            <v>综合实践环节</v>
          </cell>
          <cell r="F80">
            <v>4</v>
          </cell>
          <cell r="G80" t="str">
            <v>593001X3</v>
          </cell>
          <cell r="H80" t="str">
            <v>工科基本训练（数控加工）</v>
          </cell>
          <cell r="I80" t="str">
            <v>Engineering Basic Training(NC Machining)</v>
          </cell>
          <cell r="J80" t="str">
            <v>必修</v>
          </cell>
          <cell r="K80" t="str">
            <v>考查</v>
          </cell>
          <cell r="L80">
            <v>1</v>
          </cell>
          <cell r="M80">
            <v>32</v>
          </cell>
          <cell r="N80">
            <v>0</v>
          </cell>
          <cell r="O80">
            <v>32</v>
          </cell>
          <cell r="P80">
            <v>3</v>
          </cell>
          <cell r="Q80">
            <v>2</v>
          </cell>
        </row>
        <row r="81">
          <cell r="D81" t="str">
            <v>综合实践环节</v>
          </cell>
          <cell r="F81">
            <v>5</v>
          </cell>
          <cell r="G81" t="str">
            <v>023458R1</v>
          </cell>
          <cell r="H81" t="str">
            <v>三维数字化建模仿真实训</v>
          </cell>
          <cell r="I81" t="str">
            <v>Training of 3D Modeling &amp; Simulation</v>
          </cell>
          <cell r="J81" t="str">
            <v>必修</v>
          </cell>
          <cell r="K81" t="str">
            <v>考查</v>
          </cell>
          <cell r="L81">
            <v>2</v>
          </cell>
          <cell r="M81">
            <v>40</v>
          </cell>
          <cell r="N81">
            <v>0</v>
          </cell>
          <cell r="O81">
            <v>40</v>
          </cell>
          <cell r="P81">
            <v>6</v>
          </cell>
          <cell r="Q81" t="str">
            <v>+2</v>
          </cell>
        </row>
        <row r="82">
          <cell r="D82" t="str">
            <v>综合实践环节</v>
          </cell>
          <cell r="F82">
            <v>6</v>
          </cell>
          <cell r="G82" t="str">
            <v>593002R1</v>
          </cell>
          <cell r="H82" t="str">
            <v>工科基本训练（电子焊装）</v>
          </cell>
          <cell r="I82" t="str">
            <v>Engineering Basic Training(Electronic Soldering)</v>
          </cell>
          <cell r="J82" t="str">
            <v>必修</v>
          </cell>
          <cell r="K82" t="str">
            <v>考查</v>
          </cell>
          <cell r="L82">
            <v>1</v>
          </cell>
          <cell r="M82">
            <v>32</v>
          </cell>
          <cell r="N82">
            <v>0</v>
          </cell>
          <cell r="O82">
            <v>32</v>
          </cell>
          <cell r="P82">
            <v>4</v>
          </cell>
          <cell r="Q82">
            <v>2</v>
          </cell>
        </row>
        <row r="83">
          <cell r="D83" t="str">
            <v>综合实践环节</v>
          </cell>
          <cell r="F83">
            <v>7</v>
          </cell>
          <cell r="G83" t="str">
            <v>593002R2</v>
          </cell>
          <cell r="H83" t="str">
            <v>工科基本训练（电气控制）</v>
          </cell>
          <cell r="I83" t="str">
            <v>Engineering Basic Training(Electrical Control)</v>
          </cell>
          <cell r="J83" t="str">
            <v>必修</v>
          </cell>
          <cell r="K83" t="str">
            <v>考查</v>
          </cell>
          <cell r="L83">
            <v>1</v>
          </cell>
          <cell r="M83">
            <v>32</v>
          </cell>
          <cell r="N83">
            <v>0</v>
          </cell>
          <cell r="O83">
            <v>32</v>
          </cell>
          <cell r="P83">
            <v>4</v>
          </cell>
          <cell r="Q83">
            <v>2</v>
          </cell>
        </row>
        <row r="84">
          <cell r="D84" t="str">
            <v>综合实践环节</v>
          </cell>
          <cell r="F84">
            <v>8</v>
          </cell>
          <cell r="G84" t="str">
            <v>023010Q1</v>
          </cell>
          <cell r="H84" t="str">
            <v>机械设计课程设计</v>
          </cell>
          <cell r="I84" t="str">
            <v>Coursework of Mechanical Design</v>
          </cell>
          <cell r="J84" t="str">
            <v>必修</v>
          </cell>
          <cell r="K84" t="str">
            <v>考查</v>
          </cell>
          <cell r="L84">
            <v>2</v>
          </cell>
          <cell r="M84">
            <v>40</v>
          </cell>
          <cell r="N84">
            <v>0</v>
          </cell>
          <cell r="O84">
            <v>40</v>
          </cell>
          <cell r="P84">
            <v>5</v>
          </cell>
          <cell r="Q84" t="str">
            <v>+2</v>
          </cell>
        </row>
        <row r="85">
          <cell r="D85" t="str">
            <v>综合实践环节</v>
          </cell>
          <cell r="F85">
            <v>9</v>
          </cell>
          <cell r="G85" t="str">
            <v>593001X4</v>
          </cell>
          <cell r="H85" t="str">
            <v>工科基本训练（精加工及数控特种加工）</v>
          </cell>
          <cell r="I85" t="str">
            <v>Engineering Basic Trainin (Finish Machining and NC Special Machining)</v>
          </cell>
          <cell r="J85" t="str">
            <v>必修</v>
          </cell>
          <cell r="K85" t="str">
            <v>考查</v>
          </cell>
          <cell r="L85">
            <v>1</v>
          </cell>
          <cell r="M85">
            <v>32</v>
          </cell>
          <cell r="N85">
            <v>0</v>
          </cell>
          <cell r="O85">
            <v>32</v>
          </cell>
          <cell r="P85">
            <v>6</v>
          </cell>
          <cell r="Q85">
            <v>2</v>
          </cell>
        </row>
        <row r="86">
          <cell r="D86" t="str">
            <v>综合实践环节</v>
          </cell>
          <cell r="F86">
            <v>10</v>
          </cell>
          <cell r="H86" t="str">
            <v>航模设计与制作综合训练</v>
          </cell>
          <cell r="I86" t="str">
            <v>Comprehensive Training of Model Aircraft Design and Production</v>
          </cell>
          <cell r="J86" t="str">
            <v>必修</v>
          </cell>
          <cell r="K86" t="str">
            <v>考查</v>
          </cell>
          <cell r="L86">
            <v>1</v>
          </cell>
          <cell r="M86">
            <v>20</v>
          </cell>
          <cell r="N86">
            <v>0</v>
          </cell>
          <cell r="O86">
            <v>20</v>
          </cell>
          <cell r="P86">
            <v>7</v>
          </cell>
          <cell r="Q86" t="str">
            <v>+1</v>
          </cell>
        </row>
        <row r="87">
          <cell r="D87" t="str">
            <v>综合实践环节</v>
          </cell>
          <cell r="F87">
            <v>11</v>
          </cell>
          <cell r="H87" t="str">
            <v>飞行器制造工艺课程设计</v>
          </cell>
          <cell r="I87" t="str">
            <v>Aircraft Manufacturing Process Course Design</v>
          </cell>
          <cell r="J87" t="str">
            <v>必修</v>
          </cell>
          <cell r="K87" t="str">
            <v>考查</v>
          </cell>
          <cell r="L87">
            <v>3</v>
          </cell>
          <cell r="M87">
            <v>60</v>
          </cell>
          <cell r="N87">
            <v>0</v>
          </cell>
          <cell r="O87">
            <v>60</v>
          </cell>
          <cell r="P87">
            <v>6</v>
          </cell>
          <cell r="Q87" t="str">
            <v>+3</v>
          </cell>
        </row>
        <row r="88">
          <cell r="D88" t="str">
            <v>综合实践环节</v>
          </cell>
          <cell r="F88">
            <v>12</v>
          </cell>
          <cell r="G88" t="str">
            <v>023094P1</v>
          </cell>
          <cell r="H88" t="str">
            <v>机械制造项目综合实践</v>
          </cell>
          <cell r="I88" t="str">
            <v>Comprehensive Training of Mechanical Manufacture</v>
          </cell>
          <cell r="J88" t="str">
            <v>必修</v>
          </cell>
          <cell r="K88" t="str">
            <v>考查</v>
          </cell>
          <cell r="L88">
            <v>3</v>
          </cell>
          <cell r="M88">
            <v>60</v>
          </cell>
          <cell r="N88">
            <v>0</v>
          </cell>
          <cell r="O88">
            <v>60</v>
          </cell>
          <cell r="P88">
            <v>4</v>
          </cell>
          <cell r="Q88" t="str">
            <v>+3</v>
          </cell>
        </row>
        <row r="89">
          <cell r="D89" t="str">
            <v>综合实践环节</v>
          </cell>
          <cell r="F89">
            <v>13</v>
          </cell>
          <cell r="G89" t="str">
            <v>023067P1</v>
          </cell>
          <cell r="H89" t="str">
            <v>生产实习</v>
          </cell>
          <cell r="I89" t="str">
            <v>Production Practice</v>
          </cell>
          <cell r="J89" t="str">
            <v>必修</v>
          </cell>
          <cell r="K89" t="str">
            <v>考查</v>
          </cell>
          <cell r="L89">
            <v>3</v>
          </cell>
          <cell r="M89">
            <v>60</v>
          </cell>
          <cell r="N89">
            <v>0</v>
          </cell>
          <cell r="O89">
            <v>60</v>
          </cell>
          <cell r="P89">
            <v>7</v>
          </cell>
          <cell r="Q89" t="str">
            <v>+3</v>
          </cell>
        </row>
        <row r="90">
          <cell r="D90" t="str">
            <v>综合实践环节</v>
          </cell>
          <cell r="F90">
            <v>14</v>
          </cell>
          <cell r="G90" t="str">
            <v>023065P3</v>
          </cell>
          <cell r="H90" t="str">
            <v>毕业设计</v>
          </cell>
          <cell r="I90" t="str">
            <v>Graduation Design</v>
          </cell>
          <cell r="J90" t="str">
            <v>必修</v>
          </cell>
          <cell r="K90" t="str">
            <v>考查</v>
          </cell>
          <cell r="L90">
            <v>10</v>
          </cell>
          <cell r="M90">
            <v>300</v>
          </cell>
          <cell r="N90">
            <v>0</v>
          </cell>
          <cell r="O90">
            <v>300</v>
          </cell>
          <cell r="P90">
            <v>8</v>
          </cell>
          <cell r="Q90" t="str">
            <v>+15</v>
          </cell>
        </row>
        <row r="91">
          <cell r="D91" t="str">
            <v>综合实践环节</v>
          </cell>
          <cell r="F91">
            <v>15</v>
          </cell>
          <cell r="G91" t="str">
            <v>023004R1</v>
          </cell>
          <cell r="H91" t="str">
            <v>机械原理课程设计</v>
          </cell>
          <cell r="I91" t="str">
            <v>Coursework of Mechanisms</v>
          </cell>
          <cell r="J91" t="str">
            <v>必修</v>
          </cell>
          <cell r="K91" t="str">
            <v>考查</v>
          </cell>
          <cell r="L91">
            <v>1</v>
          </cell>
          <cell r="M91">
            <v>20</v>
          </cell>
          <cell r="N91">
            <v>0</v>
          </cell>
          <cell r="O91">
            <v>20</v>
          </cell>
          <cell r="P91">
            <v>4</v>
          </cell>
          <cell r="Q91" t="str">
            <v>+1</v>
          </cell>
        </row>
        <row r="92">
          <cell r="D92" t="str">
            <v>飞行器设计</v>
          </cell>
          <cell r="E92" t="str">
            <v>必修</v>
          </cell>
          <cell r="F92">
            <v>3</v>
          </cell>
          <cell r="H92" t="str">
            <v>航空航天概论</v>
          </cell>
          <cell r="I92" t="str">
            <v>Introduction to Aerospace</v>
          </cell>
          <cell r="J92" t="str">
            <v>必修</v>
          </cell>
          <cell r="K92" t="str">
            <v>考试</v>
          </cell>
          <cell r="L92">
            <v>2</v>
          </cell>
          <cell r="M92">
            <v>32</v>
          </cell>
          <cell r="N92">
            <v>0</v>
          </cell>
          <cell r="O92">
            <v>32</v>
          </cell>
          <cell r="P92">
            <v>4</v>
          </cell>
          <cell r="Q92">
            <v>2</v>
          </cell>
        </row>
        <row r="93">
          <cell r="D93" t="str">
            <v>制造自动化与管理</v>
          </cell>
          <cell r="E93" t="str">
            <v>选修</v>
          </cell>
          <cell r="F93">
            <v>3</v>
          </cell>
          <cell r="H93" t="str">
            <v>单片机原理与接口技术</v>
          </cell>
          <cell r="I93" t="str">
            <v>MCU Principle and Interface Technology</v>
          </cell>
          <cell r="J93" t="str">
            <v>选修</v>
          </cell>
          <cell r="K93" t="str">
            <v>考试</v>
          </cell>
          <cell r="L93">
            <v>2</v>
          </cell>
          <cell r="M93">
            <v>32</v>
          </cell>
          <cell r="N93">
            <v>28</v>
          </cell>
          <cell r="O93">
            <v>4</v>
          </cell>
          <cell r="P93">
            <v>6</v>
          </cell>
          <cell r="Q93">
            <v>2</v>
          </cell>
        </row>
        <row r="94">
          <cell r="D94" t="str">
            <v>专业大类课程模块</v>
          </cell>
          <cell r="E94" t="str">
            <v>专业基础类</v>
          </cell>
          <cell r="F94">
            <v>5</v>
          </cell>
          <cell r="G94" t="str">
            <v>033032H1</v>
          </cell>
          <cell r="H94" t="str">
            <v>高级语言程序设计基础实验</v>
          </cell>
          <cell r="I94" t="str">
            <v>Fundamentals of Advanced  Language Programming Experiment</v>
          </cell>
          <cell r="J94" t="str">
            <v>必修</v>
          </cell>
          <cell r="K94" t="str">
            <v>考查</v>
          </cell>
          <cell r="L94">
            <v>1</v>
          </cell>
          <cell r="M94">
            <v>32</v>
          </cell>
          <cell r="N94">
            <v>0</v>
          </cell>
          <cell r="O94">
            <v>32</v>
          </cell>
          <cell r="P94">
            <v>2</v>
          </cell>
          <cell r="Q94">
            <v>2</v>
          </cell>
        </row>
        <row r="95">
          <cell r="D95" t="str">
            <v>飞行器制造</v>
          </cell>
          <cell r="E95" t="str">
            <v>必修</v>
          </cell>
          <cell r="F95">
            <v>6</v>
          </cell>
          <cell r="H95" t="str">
            <v>飞机装配原理与工艺</v>
          </cell>
          <cell r="I95" t="str">
            <v>Aircraft Assembly principle and process</v>
          </cell>
          <cell r="J95" t="str">
            <v>必修</v>
          </cell>
          <cell r="K95" t="str">
            <v>考试</v>
          </cell>
          <cell r="L95">
            <v>1.5</v>
          </cell>
          <cell r="M95">
            <v>24</v>
          </cell>
          <cell r="N95">
            <v>24</v>
          </cell>
          <cell r="O95">
            <v>0</v>
          </cell>
          <cell r="P95">
            <v>7</v>
          </cell>
          <cell r="Q95">
            <v>1.5</v>
          </cell>
        </row>
        <row r="96">
          <cell r="D96" t="str">
            <v>飞行器制造</v>
          </cell>
          <cell r="E96" t="str">
            <v>必修</v>
          </cell>
          <cell r="F96">
            <v>7</v>
          </cell>
          <cell r="H96" t="str">
            <v>飞机钣金成型技术</v>
          </cell>
          <cell r="I96" t="str">
            <v>Aircraft Sheet Metal Forming Technology</v>
          </cell>
          <cell r="J96" t="str">
            <v>必修</v>
          </cell>
          <cell r="K96" t="str">
            <v>考试</v>
          </cell>
          <cell r="L96">
            <v>2</v>
          </cell>
          <cell r="M96">
            <v>32</v>
          </cell>
          <cell r="N96">
            <v>28</v>
          </cell>
          <cell r="O96">
            <v>4</v>
          </cell>
          <cell r="P96">
            <v>6</v>
          </cell>
          <cell r="Q96">
            <v>2</v>
          </cell>
        </row>
      </sheetData>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中文描述"/>
      <sheetName val="英文描述"/>
      <sheetName val="数据定义"/>
      <sheetName val="参数"/>
      <sheetName val="课程清单"/>
      <sheetName val="课程学分学时分布表（附件1）"/>
      <sheetName val="课程设置与教学进程表（附件2）"/>
      <sheetName val="课程地图(附件3)"/>
      <sheetName val="校企共建产教融合型专业能力课程（附件4）"/>
      <sheetName val="培养目标—毕业要求二维矩阵表（附件5）"/>
      <sheetName val="毕业要求—课程体系二维矩阵表（附件6）"/>
    </sheetNames>
    <sheetDataSet>
      <sheetData sheetId="0"/>
      <sheetData sheetId="1"/>
      <sheetData sheetId="2"/>
      <sheetData sheetId="3"/>
      <sheetData sheetId="4">
        <row r="1">
          <cell r="B1" t="str">
            <v>课程序号</v>
          </cell>
          <cell r="C1" t="str">
            <v>课程平台</v>
          </cell>
          <cell r="D1" t="str">
            <v>课程模块</v>
          </cell>
          <cell r="E1" t="str">
            <v>三级类别</v>
          </cell>
          <cell r="F1" t="str">
            <v>模块序号</v>
          </cell>
          <cell r="G1" t="str">
            <v>课程代码</v>
          </cell>
          <cell r="H1" t="str">
            <v>课程中文名称</v>
          </cell>
          <cell r="I1" t="str">
            <v>课程英文名称</v>
          </cell>
          <cell r="J1" t="str">
            <v>课程
性质</v>
          </cell>
          <cell r="K1" t="str">
            <v>考核方式</v>
          </cell>
          <cell r="L1" t="str">
            <v>学分</v>
          </cell>
          <cell r="M1" t="str">
            <v>总学时</v>
          </cell>
          <cell r="N1" t="str">
            <v>理论学时</v>
          </cell>
          <cell r="O1" t="str">
            <v>实验学时</v>
          </cell>
          <cell r="P1" t="str">
            <v>修读学期</v>
          </cell>
          <cell r="Q1" t="str">
            <v>周学时</v>
          </cell>
        </row>
        <row r="2">
          <cell r="B2">
            <v>1</v>
          </cell>
          <cell r="C2" t="str">
            <v>通识教育课程平台</v>
          </cell>
          <cell r="D2" t="str">
            <v>思政类</v>
          </cell>
          <cell r="E2"/>
          <cell r="F2">
            <v>1</v>
          </cell>
          <cell r="G2" t="str">
            <v>053017P1</v>
          </cell>
          <cell r="H2" t="str">
            <v>中国近现代史纲要</v>
          </cell>
          <cell r="I2" t="str">
            <v>Outline of Modern Chinese History</v>
          </cell>
          <cell r="J2" t="str">
            <v>必修</v>
          </cell>
          <cell r="K2"/>
          <cell r="L2">
            <v>3</v>
          </cell>
          <cell r="M2">
            <v>48</v>
          </cell>
          <cell r="N2">
            <v>48</v>
          </cell>
          <cell r="O2"/>
          <cell r="P2">
            <v>2</v>
          </cell>
          <cell r="Q2">
            <v>3</v>
          </cell>
        </row>
        <row r="3">
          <cell r="B3">
            <v>2</v>
          </cell>
          <cell r="C3" t="str">
            <v>通识教育课程平台</v>
          </cell>
          <cell r="D3" t="str">
            <v>思政类</v>
          </cell>
          <cell r="E3"/>
          <cell r="F3">
            <v>2</v>
          </cell>
          <cell r="G3" t="str">
            <v>053011R1</v>
          </cell>
          <cell r="H3" t="str">
            <v>思想道德与法治</v>
          </cell>
          <cell r="I3" t="str">
            <v>Ideology Morality and Law</v>
          </cell>
          <cell r="J3" t="str">
            <v>必修</v>
          </cell>
          <cell r="K3"/>
          <cell r="L3">
            <v>2</v>
          </cell>
          <cell r="M3">
            <v>32</v>
          </cell>
          <cell r="N3">
            <v>32</v>
          </cell>
          <cell r="O3"/>
          <cell r="P3">
            <v>1</v>
          </cell>
          <cell r="Q3">
            <v>2</v>
          </cell>
        </row>
        <row r="4">
          <cell r="B4">
            <v>3</v>
          </cell>
          <cell r="C4" t="str">
            <v>通识教育课程平台</v>
          </cell>
          <cell r="D4" t="str">
            <v>思政类</v>
          </cell>
          <cell r="E4"/>
          <cell r="F4">
            <v>3</v>
          </cell>
          <cell r="G4" t="str">
            <v>053011R1</v>
          </cell>
          <cell r="H4" t="str">
            <v>思想道德与法治实践</v>
          </cell>
          <cell r="I4" t="str">
            <v>Ideology Morality and Law Practice</v>
          </cell>
          <cell r="J4" t="str">
            <v>必修</v>
          </cell>
          <cell r="K4"/>
          <cell r="L4">
            <v>1</v>
          </cell>
          <cell r="M4">
            <v>20</v>
          </cell>
          <cell r="N4"/>
          <cell r="O4">
            <v>20</v>
          </cell>
          <cell r="P4">
            <v>1</v>
          </cell>
          <cell r="Q4" t="str">
            <v>+1</v>
          </cell>
        </row>
        <row r="5">
          <cell r="B5">
            <v>4</v>
          </cell>
          <cell r="C5" t="str">
            <v>通识教育课程平台</v>
          </cell>
          <cell r="D5" t="str">
            <v>思政类</v>
          </cell>
          <cell r="E5"/>
          <cell r="F5">
            <v>4</v>
          </cell>
          <cell r="G5" t="str">
            <v>053010R1</v>
          </cell>
          <cell r="H5" t="str">
            <v>马克思主义基本原理</v>
          </cell>
          <cell r="I5" t="str">
            <v>The Principle of Marx Doctrine</v>
          </cell>
          <cell r="J5" t="str">
            <v>必修</v>
          </cell>
          <cell r="K5"/>
          <cell r="L5">
            <v>3</v>
          </cell>
          <cell r="M5">
            <v>48</v>
          </cell>
          <cell r="N5">
            <v>48</v>
          </cell>
          <cell r="O5"/>
          <cell r="P5">
            <v>4</v>
          </cell>
          <cell r="Q5">
            <v>3</v>
          </cell>
        </row>
        <row r="6">
          <cell r="B6">
            <v>5</v>
          </cell>
          <cell r="C6" t="str">
            <v>通识教育课程平台</v>
          </cell>
          <cell r="D6" t="str">
            <v>思政类</v>
          </cell>
          <cell r="E6"/>
          <cell r="F6">
            <v>5</v>
          </cell>
          <cell r="G6" t="str">
            <v>053008R1</v>
          </cell>
          <cell r="H6" t="str">
            <v>毛泽东思想和中国特色社会主义理论体系概论</v>
          </cell>
          <cell r="I6" t="str">
            <v>Mao Zedong Thought and Theoretical Stystem of Chinese Socialism</v>
          </cell>
          <cell r="J6" t="str">
            <v>必修</v>
          </cell>
          <cell r="K6"/>
          <cell r="L6">
            <v>4</v>
          </cell>
          <cell r="M6">
            <v>64</v>
          </cell>
          <cell r="N6">
            <v>64</v>
          </cell>
          <cell r="O6"/>
          <cell r="P6">
            <v>3</v>
          </cell>
          <cell r="Q6">
            <v>4</v>
          </cell>
        </row>
        <row r="7">
          <cell r="B7">
            <v>6</v>
          </cell>
          <cell r="C7" t="str">
            <v>通识教育课程平台</v>
          </cell>
          <cell r="D7" t="str">
            <v>思政类</v>
          </cell>
          <cell r="E7"/>
          <cell r="F7">
            <v>6</v>
          </cell>
          <cell r="G7" t="str">
            <v>053008R1</v>
          </cell>
          <cell r="H7" t="str">
            <v>毛泽东思想和中国特色社会主义理论体系概论实践</v>
          </cell>
          <cell r="I7" t="str">
            <v>Mao Zedong Thought and Theoretical Stystem of Chinese Practice</v>
          </cell>
          <cell r="J7" t="str">
            <v>必修</v>
          </cell>
          <cell r="K7"/>
          <cell r="L7">
            <v>1</v>
          </cell>
          <cell r="M7">
            <v>20</v>
          </cell>
          <cell r="N7"/>
          <cell r="O7">
            <v>20</v>
          </cell>
          <cell r="P7">
            <v>3</v>
          </cell>
          <cell r="Q7" t="str">
            <v>+1</v>
          </cell>
        </row>
        <row r="8">
          <cell r="B8">
            <v>7</v>
          </cell>
          <cell r="C8" t="str">
            <v>通识教育课程平台</v>
          </cell>
          <cell r="D8" t="str">
            <v>思政类</v>
          </cell>
          <cell r="E8"/>
          <cell r="F8">
            <v>7</v>
          </cell>
          <cell r="G8" t="str">
            <v>053111P1</v>
          </cell>
          <cell r="H8" t="str">
            <v>形势与政策（1）</v>
          </cell>
          <cell r="I8" t="str">
            <v>Situation and Policy(I)</v>
          </cell>
          <cell r="J8" t="str">
            <v>必修</v>
          </cell>
          <cell r="K8"/>
          <cell r="L8">
            <v>0.25</v>
          </cell>
          <cell r="M8">
            <v>4</v>
          </cell>
          <cell r="N8">
            <v>4</v>
          </cell>
          <cell r="O8"/>
          <cell r="P8">
            <v>1</v>
          </cell>
          <cell r="Q8">
            <v>2</v>
          </cell>
        </row>
        <row r="9">
          <cell r="B9">
            <v>8</v>
          </cell>
          <cell r="C9" t="str">
            <v>通识教育课程平台</v>
          </cell>
          <cell r="D9" t="str">
            <v>思政类</v>
          </cell>
          <cell r="E9"/>
          <cell r="F9">
            <v>8</v>
          </cell>
          <cell r="G9" t="str">
            <v>053111P2</v>
          </cell>
          <cell r="H9" t="str">
            <v>形势与政策（2）</v>
          </cell>
          <cell r="I9" t="str">
            <v>Situation and Policy(II)</v>
          </cell>
          <cell r="J9" t="str">
            <v>必修</v>
          </cell>
          <cell r="K9"/>
          <cell r="L9">
            <v>0.25</v>
          </cell>
          <cell r="M9">
            <v>4</v>
          </cell>
          <cell r="N9">
            <v>4</v>
          </cell>
          <cell r="O9"/>
          <cell r="P9">
            <v>2</v>
          </cell>
          <cell r="Q9">
            <v>2</v>
          </cell>
        </row>
        <row r="10">
          <cell r="B10">
            <v>9</v>
          </cell>
          <cell r="C10" t="str">
            <v>通识教育课程平台</v>
          </cell>
          <cell r="D10" t="str">
            <v>思政类</v>
          </cell>
          <cell r="E10"/>
          <cell r="F10">
            <v>9</v>
          </cell>
          <cell r="G10" t="str">
            <v>053111P3</v>
          </cell>
          <cell r="H10" t="str">
            <v>形势与政策（3）</v>
          </cell>
          <cell r="I10" t="str">
            <v>Situation and Policy(III)</v>
          </cell>
          <cell r="J10" t="str">
            <v>必修</v>
          </cell>
          <cell r="K10"/>
          <cell r="L10">
            <v>0.25</v>
          </cell>
          <cell r="M10">
            <v>4</v>
          </cell>
          <cell r="N10">
            <v>4</v>
          </cell>
          <cell r="O10"/>
          <cell r="P10">
            <v>3</v>
          </cell>
          <cell r="Q10">
            <v>2</v>
          </cell>
        </row>
        <row r="11">
          <cell r="B11">
            <v>10</v>
          </cell>
          <cell r="C11" t="str">
            <v>通识教育课程平台</v>
          </cell>
          <cell r="D11" t="str">
            <v>思政类</v>
          </cell>
          <cell r="E11"/>
          <cell r="F11">
            <v>10</v>
          </cell>
          <cell r="G11" t="str">
            <v>053111P4</v>
          </cell>
          <cell r="H11" t="str">
            <v>形势与政策（4）</v>
          </cell>
          <cell r="I11" t="str">
            <v>Situation and Policy(IV)</v>
          </cell>
          <cell r="J11" t="str">
            <v>必修</v>
          </cell>
          <cell r="K11"/>
          <cell r="L11">
            <v>0.25</v>
          </cell>
          <cell r="M11">
            <v>4</v>
          </cell>
          <cell r="N11">
            <v>4</v>
          </cell>
          <cell r="O11"/>
          <cell r="P11">
            <v>4</v>
          </cell>
          <cell r="Q11">
            <v>2</v>
          </cell>
        </row>
        <row r="12">
          <cell r="B12">
            <v>11</v>
          </cell>
          <cell r="C12" t="str">
            <v>通识教育课程平台</v>
          </cell>
          <cell r="D12" t="str">
            <v>思政类</v>
          </cell>
          <cell r="E12"/>
          <cell r="F12">
            <v>11</v>
          </cell>
          <cell r="G12" t="str">
            <v>053111P5</v>
          </cell>
          <cell r="H12" t="str">
            <v>形势与政策（5）</v>
          </cell>
          <cell r="I12" t="str">
            <v>Situation and Policy(V)</v>
          </cell>
          <cell r="J12" t="str">
            <v>必修</v>
          </cell>
          <cell r="K12"/>
          <cell r="L12">
            <v>0.25</v>
          </cell>
          <cell r="M12">
            <v>4</v>
          </cell>
          <cell r="N12">
            <v>4</v>
          </cell>
          <cell r="O12"/>
          <cell r="P12">
            <v>5</v>
          </cell>
          <cell r="Q12">
            <v>2</v>
          </cell>
        </row>
        <row r="13">
          <cell r="B13">
            <v>12</v>
          </cell>
          <cell r="C13" t="str">
            <v>通识教育课程平台</v>
          </cell>
          <cell r="D13" t="str">
            <v>思政类</v>
          </cell>
          <cell r="E13"/>
          <cell r="F13">
            <v>12</v>
          </cell>
          <cell r="G13" t="str">
            <v>053111P6</v>
          </cell>
          <cell r="H13" t="str">
            <v>形势与政策（6）</v>
          </cell>
          <cell r="I13" t="str">
            <v>Situation and Policy(VI)</v>
          </cell>
          <cell r="J13" t="str">
            <v>必修</v>
          </cell>
          <cell r="K13"/>
          <cell r="L13">
            <v>0.25</v>
          </cell>
          <cell r="M13">
            <v>4</v>
          </cell>
          <cell r="N13">
            <v>4</v>
          </cell>
          <cell r="O13"/>
          <cell r="P13">
            <v>6</v>
          </cell>
          <cell r="Q13">
            <v>2</v>
          </cell>
        </row>
        <row r="14">
          <cell r="B14">
            <v>13</v>
          </cell>
          <cell r="C14" t="str">
            <v>通识教育课程平台</v>
          </cell>
          <cell r="D14" t="str">
            <v>思政类</v>
          </cell>
          <cell r="E14"/>
          <cell r="F14">
            <v>13</v>
          </cell>
          <cell r="G14" t="str">
            <v>053111P7</v>
          </cell>
          <cell r="H14" t="str">
            <v>形势与政策（7）</v>
          </cell>
          <cell r="I14" t="str">
            <v>Situation and Policy(VII)</v>
          </cell>
          <cell r="J14" t="str">
            <v>必修</v>
          </cell>
          <cell r="K14"/>
          <cell r="L14">
            <v>0.25</v>
          </cell>
          <cell r="M14">
            <v>4</v>
          </cell>
          <cell r="N14">
            <v>4</v>
          </cell>
          <cell r="O14"/>
          <cell r="P14">
            <v>7</v>
          </cell>
          <cell r="Q14">
            <v>2</v>
          </cell>
        </row>
        <row r="15">
          <cell r="B15">
            <v>14</v>
          </cell>
          <cell r="C15" t="str">
            <v>通识教育课程平台</v>
          </cell>
          <cell r="D15" t="str">
            <v>思政类</v>
          </cell>
          <cell r="E15"/>
          <cell r="F15">
            <v>14</v>
          </cell>
          <cell r="G15" t="str">
            <v>053111P8</v>
          </cell>
          <cell r="H15" t="str">
            <v>形势与政策（8）</v>
          </cell>
          <cell r="I15" t="str">
            <v>Situation and Policy(VIII)</v>
          </cell>
          <cell r="J15" t="str">
            <v>必修</v>
          </cell>
          <cell r="K15"/>
          <cell r="L15">
            <v>0.25</v>
          </cell>
          <cell r="M15">
            <v>4</v>
          </cell>
          <cell r="N15">
            <v>4</v>
          </cell>
          <cell r="O15"/>
          <cell r="P15">
            <v>8</v>
          </cell>
          <cell r="Q15">
            <v>2</v>
          </cell>
        </row>
        <row r="16">
          <cell r="B16">
            <v>15</v>
          </cell>
          <cell r="C16" t="str">
            <v>通识教育课程平台</v>
          </cell>
          <cell r="D16" t="str">
            <v>思政类</v>
          </cell>
          <cell r="E16"/>
          <cell r="F16">
            <v>15</v>
          </cell>
          <cell r="G16" t="str">
            <v>见“四史”课程一览表</v>
          </cell>
          <cell r="H16" t="str">
            <v>“四史”课程</v>
          </cell>
          <cell r="I16" t="str">
            <v>Histories of the Communist Party of China，People's Republic of China，the Reform and Opening-up，and the Socialist  Development</v>
          </cell>
          <cell r="J16" t="str">
            <v>限选</v>
          </cell>
          <cell r="K16"/>
          <cell r="L16">
            <v>1</v>
          </cell>
          <cell r="M16">
            <v>16</v>
          </cell>
          <cell r="N16">
            <v>16</v>
          </cell>
          <cell r="O16"/>
          <cell r="P16"/>
          <cell r="Q16">
            <v>1</v>
          </cell>
        </row>
        <row r="17">
          <cell r="B17">
            <v>16</v>
          </cell>
          <cell r="C17" t="str">
            <v>通识教育课程平台</v>
          </cell>
          <cell r="D17" t="str">
            <v>外语类</v>
          </cell>
          <cell r="E17"/>
          <cell r="F17">
            <v>1</v>
          </cell>
          <cell r="G17" t="str">
            <v>063001A1</v>
          </cell>
          <cell r="H17" t="str">
            <v>大学英语（1）</v>
          </cell>
          <cell r="I17" t="str">
            <v>College English(I)</v>
          </cell>
          <cell r="J17" t="str">
            <v>必修</v>
          </cell>
          <cell r="K17"/>
          <cell r="L17">
            <v>2</v>
          </cell>
          <cell r="M17">
            <v>32</v>
          </cell>
          <cell r="N17">
            <v>32</v>
          </cell>
          <cell r="O17"/>
          <cell r="P17">
            <v>1</v>
          </cell>
          <cell r="Q17">
            <v>2</v>
          </cell>
        </row>
        <row r="18">
          <cell r="B18">
            <v>17</v>
          </cell>
          <cell r="C18" t="str">
            <v>通识教育课程平台</v>
          </cell>
          <cell r="D18" t="str">
            <v>外语类</v>
          </cell>
          <cell r="E18"/>
          <cell r="F18">
            <v>2</v>
          </cell>
          <cell r="G18" t="str">
            <v>063002Q1</v>
          </cell>
          <cell r="H18" t="str">
            <v>大学英语听说（1）</v>
          </cell>
          <cell r="I18" t="str">
            <v>College English Listening and Speaking(I)</v>
          </cell>
          <cell r="J18" t="str">
            <v>必修</v>
          </cell>
          <cell r="K18"/>
          <cell r="L18">
            <v>2</v>
          </cell>
          <cell r="M18">
            <v>32</v>
          </cell>
          <cell r="N18">
            <v>32</v>
          </cell>
          <cell r="O18"/>
          <cell r="P18">
            <v>1</v>
          </cell>
          <cell r="Q18">
            <v>2</v>
          </cell>
        </row>
        <row r="19">
          <cell r="B19">
            <v>18</v>
          </cell>
          <cell r="C19" t="str">
            <v>通识教育课程平台</v>
          </cell>
          <cell r="D19" t="str">
            <v>外语类</v>
          </cell>
          <cell r="E19"/>
          <cell r="F19">
            <v>3</v>
          </cell>
          <cell r="G19" t="str">
            <v>063001A2</v>
          </cell>
          <cell r="H19" t="str">
            <v>大学英语（2）</v>
          </cell>
          <cell r="I19" t="str">
            <v>College English(Ⅱ)</v>
          </cell>
          <cell r="J19" t="str">
            <v>必修</v>
          </cell>
          <cell r="K19"/>
          <cell r="L19">
            <v>2</v>
          </cell>
          <cell r="M19">
            <v>32</v>
          </cell>
          <cell r="N19">
            <v>32</v>
          </cell>
          <cell r="O19"/>
          <cell r="P19">
            <v>2</v>
          </cell>
          <cell r="Q19">
            <v>2</v>
          </cell>
        </row>
        <row r="20">
          <cell r="B20">
            <v>19</v>
          </cell>
          <cell r="C20" t="str">
            <v>通识教育课程平台</v>
          </cell>
          <cell r="D20" t="str">
            <v>外语类</v>
          </cell>
          <cell r="E20"/>
          <cell r="F20">
            <v>4</v>
          </cell>
          <cell r="G20" t="str">
            <v>063002Q2</v>
          </cell>
          <cell r="H20" t="str">
            <v>大学英语听说（2）</v>
          </cell>
          <cell r="I20" t="str">
            <v>College English Listening and Speaking(Ⅱ)</v>
          </cell>
          <cell r="J20" t="str">
            <v>必修</v>
          </cell>
          <cell r="K20"/>
          <cell r="L20">
            <v>2</v>
          </cell>
          <cell r="M20">
            <v>32</v>
          </cell>
          <cell r="N20">
            <v>32</v>
          </cell>
          <cell r="O20"/>
          <cell r="P20">
            <v>2</v>
          </cell>
          <cell r="Q20">
            <v>2</v>
          </cell>
        </row>
        <row r="21">
          <cell r="B21">
            <v>20</v>
          </cell>
          <cell r="C21" t="str">
            <v>通识教育课程平台</v>
          </cell>
          <cell r="D21" t="str">
            <v>外语类</v>
          </cell>
          <cell r="E21"/>
          <cell r="F21">
            <v>5</v>
          </cell>
          <cell r="G21" t="str">
            <v>见大学英语限选课程一览表</v>
          </cell>
          <cell r="H21" t="str">
            <v>大学英语限选课程</v>
          </cell>
          <cell r="I21" t="str">
            <v>Distributional ELectives of Colloge English</v>
          </cell>
          <cell r="J21" t="str">
            <v>限选</v>
          </cell>
          <cell r="K21"/>
          <cell r="L21">
            <v>2</v>
          </cell>
          <cell r="M21">
            <v>32</v>
          </cell>
          <cell r="N21">
            <v>32</v>
          </cell>
          <cell r="O21"/>
          <cell r="P21"/>
          <cell r="Q21">
            <v>2</v>
          </cell>
        </row>
        <row r="22">
          <cell r="B22">
            <v>21</v>
          </cell>
          <cell r="C22" t="str">
            <v>通识教育课程平台</v>
          </cell>
          <cell r="D22" t="str">
            <v>军体类</v>
          </cell>
          <cell r="E22"/>
          <cell r="F22">
            <v>1</v>
          </cell>
          <cell r="G22" t="str">
            <v>课程组</v>
          </cell>
          <cell r="H22" t="str">
            <v>体育（1）</v>
          </cell>
          <cell r="I22" t="str">
            <v>Physical Education(I)</v>
          </cell>
          <cell r="J22" t="str">
            <v>必修</v>
          </cell>
          <cell r="K22"/>
          <cell r="L22">
            <v>1</v>
          </cell>
          <cell r="M22">
            <v>32</v>
          </cell>
          <cell r="N22">
            <v>32</v>
          </cell>
          <cell r="O22"/>
          <cell r="P22">
            <v>1</v>
          </cell>
          <cell r="Q22">
            <v>2</v>
          </cell>
        </row>
        <row r="23">
          <cell r="B23">
            <v>22</v>
          </cell>
          <cell r="C23" t="str">
            <v>通识教育课程平台</v>
          </cell>
          <cell r="D23" t="str">
            <v>军体类</v>
          </cell>
          <cell r="E23"/>
          <cell r="F23">
            <v>2</v>
          </cell>
          <cell r="G23" t="str">
            <v>课程组</v>
          </cell>
          <cell r="H23" t="str">
            <v>体育（2）</v>
          </cell>
          <cell r="I23" t="str">
            <v>Physical Education(II)</v>
          </cell>
          <cell r="J23" t="str">
            <v>必修</v>
          </cell>
          <cell r="K23"/>
          <cell r="L23">
            <v>1</v>
          </cell>
          <cell r="M23">
            <v>32</v>
          </cell>
          <cell r="N23">
            <v>32</v>
          </cell>
          <cell r="O23"/>
          <cell r="P23">
            <v>2</v>
          </cell>
          <cell r="Q23">
            <v>2</v>
          </cell>
        </row>
        <row r="24">
          <cell r="B24">
            <v>23</v>
          </cell>
          <cell r="C24" t="str">
            <v>通识教育课程平台</v>
          </cell>
          <cell r="D24" t="str">
            <v>军体类</v>
          </cell>
          <cell r="E24"/>
          <cell r="F24">
            <v>3</v>
          </cell>
          <cell r="G24" t="str">
            <v>课程组</v>
          </cell>
          <cell r="H24" t="str">
            <v>体育（3）</v>
          </cell>
          <cell r="I24" t="str">
            <v>Physical Education(III)</v>
          </cell>
          <cell r="J24" t="str">
            <v>必修</v>
          </cell>
          <cell r="K24"/>
          <cell r="L24">
            <v>1</v>
          </cell>
          <cell r="M24">
            <v>32</v>
          </cell>
          <cell r="N24">
            <v>32</v>
          </cell>
          <cell r="O24"/>
          <cell r="P24">
            <v>3</v>
          </cell>
          <cell r="Q24">
            <v>2</v>
          </cell>
        </row>
        <row r="25">
          <cell r="B25">
            <v>24</v>
          </cell>
          <cell r="C25" t="str">
            <v>通识教育课程平台</v>
          </cell>
          <cell r="D25" t="str">
            <v>军体类</v>
          </cell>
          <cell r="E25"/>
          <cell r="F25">
            <v>4</v>
          </cell>
          <cell r="G25" t="str">
            <v>课程组</v>
          </cell>
          <cell r="H25" t="str">
            <v>体育（4）</v>
          </cell>
          <cell r="I25" t="str">
            <v>Physical Education(IV)</v>
          </cell>
          <cell r="J25" t="str">
            <v>必修</v>
          </cell>
          <cell r="K25"/>
          <cell r="L25">
            <v>1</v>
          </cell>
          <cell r="M25">
            <v>32</v>
          </cell>
          <cell r="N25">
            <v>32</v>
          </cell>
          <cell r="O25"/>
          <cell r="P25">
            <v>4</v>
          </cell>
          <cell r="Q25">
            <v>2</v>
          </cell>
        </row>
        <row r="26">
          <cell r="B26">
            <v>25</v>
          </cell>
          <cell r="C26" t="str">
            <v>通识教育课程平台</v>
          </cell>
          <cell r="D26" t="str">
            <v>军体类</v>
          </cell>
          <cell r="E26"/>
          <cell r="F26">
            <v>5</v>
          </cell>
          <cell r="G26" t="str">
            <v>903005P1</v>
          </cell>
          <cell r="H26" t="str">
            <v>军事理论</v>
          </cell>
          <cell r="I26" t="str">
            <v>Military Theory</v>
          </cell>
          <cell r="J26" t="str">
            <v>必修</v>
          </cell>
          <cell r="K26"/>
          <cell r="L26">
            <v>2</v>
          </cell>
          <cell r="M26">
            <v>32</v>
          </cell>
          <cell r="N26">
            <v>32</v>
          </cell>
          <cell r="O26"/>
          <cell r="P26">
            <v>1</v>
          </cell>
          <cell r="Q26">
            <v>2</v>
          </cell>
        </row>
        <row r="27">
          <cell r="B27">
            <v>26</v>
          </cell>
          <cell r="C27" t="str">
            <v>通识教育课程平台</v>
          </cell>
          <cell r="D27" t="str">
            <v>军体类</v>
          </cell>
          <cell r="E27"/>
          <cell r="F27">
            <v>6</v>
          </cell>
          <cell r="G27" t="str">
            <v>903006P1</v>
          </cell>
          <cell r="H27" t="str">
            <v>军事技能</v>
          </cell>
          <cell r="I27" t="str">
            <v>Military Skills</v>
          </cell>
          <cell r="J27" t="str">
            <v>必修</v>
          </cell>
          <cell r="K27"/>
          <cell r="L27">
            <v>2</v>
          </cell>
          <cell r="M27">
            <v>40</v>
          </cell>
          <cell r="N27"/>
          <cell r="O27">
            <v>40</v>
          </cell>
          <cell r="P27">
            <v>1</v>
          </cell>
          <cell r="Q27" t="str">
            <v>+2</v>
          </cell>
        </row>
        <row r="28">
          <cell r="B28">
            <v>27</v>
          </cell>
          <cell r="C28" t="str">
            <v>通识教育课程平台</v>
          </cell>
          <cell r="D28" t="str">
            <v>计算机类</v>
          </cell>
          <cell r="E28"/>
          <cell r="F28">
            <v>1</v>
          </cell>
          <cell r="G28" t="str">
            <v>033466A1</v>
          </cell>
          <cell r="H28" t="str">
            <v>大学信息技术</v>
          </cell>
          <cell r="I28" t="str">
            <v>College Information Technology</v>
          </cell>
          <cell r="J28" t="str">
            <v>必修</v>
          </cell>
          <cell r="K28"/>
          <cell r="L28">
            <v>1</v>
          </cell>
          <cell r="M28">
            <v>32</v>
          </cell>
          <cell r="N28"/>
          <cell r="O28">
            <v>32</v>
          </cell>
          <cell r="P28">
            <v>1</v>
          </cell>
          <cell r="Q28">
            <v>2</v>
          </cell>
        </row>
        <row r="29">
          <cell r="B29">
            <v>28</v>
          </cell>
          <cell r="C29" t="str">
            <v>通识教育课程平台</v>
          </cell>
          <cell r="D29" t="str">
            <v>创新创业类</v>
          </cell>
          <cell r="E29"/>
          <cell r="F29">
            <v>1</v>
          </cell>
          <cell r="G29" t="str">
            <v>023347P3</v>
          </cell>
          <cell r="H29" t="str">
            <v>创新创业教育</v>
          </cell>
          <cell r="I29" t="str">
            <v>Innovation and Entrepreneurship</v>
          </cell>
          <cell r="J29" t="str">
            <v>必修</v>
          </cell>
          <cell r="K29"/>
          <cell r="L29">
            <v>1</v>
          </cell>
          <cell r="M29">
            <v>16</v>
          </cell>
          <cell r="N29">
            <v>16</v>
          </cell>
          <cell r="O29"/>
          <cell r="P29">
            <v>4</v>
          </cell>
          <cell r="Q29">
            <v>1</v>
          </cell>
        </row>
        <row r="30">
          <cell r="B30">
            <v>29</v>
          </cell>
          <cell r="C30" t="str">
            <v>通识教育课程平台</v>
          </cell>
          <cell r="D30" t="str">
            <v>创新创业类</v>
          </cell>
          <cell r="E30"/>
          <cell r="F30">
            <v>2</v>
          </cell>
          <cell r="G30" t="str">
            <v>593001F1</v>
          </cell>
          <cell r="H30" t="str">
            <v>创新创业教育实践</v>
          </cell>
          <cell r="I30" t="str">
            <v>Innovation and Entrepreneurship Practice</v>
          </cell>
          <cell r="J30" t="str">
            <v>必修</v>
          </cell>
          <cell r="K30"/>
          <cell r="L30">
            <v>1</v>
          </cell>
          <cell r="M30">
            <v>32</v>
          </cell>
          <cell r="N30"/>
          <cell r="O30">
            <v>32</v>
          </cell>
          <cell r="P30"/>
          <cell r="Q30">
            <v>2</v>
          </cell>
        </row>
        <row r="31">
          <cell r="B31">
            <v>30</v>
          </cell>
          <cell r="C31" t="str">
            <v>通识教育课程平台</v>
          </cell>
          <cell r="D31" t="str">
            <v>劳动教育类</v>
          </cell>
          <cell r="E31"/>
          <cell r="F31">
            <v>1</v>
          </cell>
          <cell r="G31" t="str">
            <v>053016R1</v>
          </cell>
          <cell r="H31" t="str">
            <v>劳动教育</v>
          </cell>
          <cell r="I31" t="str">
            <v>Labor Education</v>
          </cell>
          <cell r="J31" t="str">
            <v>必修</v>
          </cell>
          <cell r="K31"/>
          <cell r="L31">
            <v>1</v>
          </cell>
          <cell r="M31">
            <v>16</v>
          </cell>
          <cell r="N31">
            <v>16</v>
          </cell>
          <cell r="O31"/>
          <cell r="P31">
            <v>3</v>
          </cell>
          <cell r="Q31">
            <v>1</v>
          </cell>
        </row>
        <row r="32">
          <cell r="B32">
            <v>31</v>
          </cell>
          <cell r="C32" t="str">
            <v>通识教育课程平台</v>
          </cell>
          <cell r="D32" t="str">
            <v>劳动教育类</v>
          </cell>
          <cell r="E32"/>
          <cell r="F32">
            <v>2</v>
          </cell>
          <cell r="G32" t="str">
            <v>903007P1</v>
          </cell>
          <cell r="H32" t="str">
            <v>劳动教育实践</v>
          </cell>
          <cell r="I32" t="str">
            <v>Labor Education Practice</v>
          </cell>
          <cell r="J32" t="str">
            <v>必修</v>
          </cell>
          <cell r="K32"/>
          <cell r="L32">
            <v>1</v>
          </cell>
          <cell r="M32">
            <v>32</v>
          </cell>
          <cell r="N32"/>
          <cell r="O32">
            <v>32</v>
          </cell>
          <cell r="P32"/>
          <cell r="Q32">
            <v>2</v>
          </cell>
        </row>
        <row r="33">
          <cell r="B33">
            <v>32</v>
          </cell>
          <cell r="C33" t="str">
            <v>通识教育课程平台</v>
          </cell>
          <cell r="D33" t="str">
            <v>美育类</v>
          </cell>
          <cell r="E33"/>
          <cell r="F33">
            <v>1</v>
          </cell>
          <cell r="G33" t="str">
            <v>见美育课程一览表</v>
          </cell>
          <cell r="H33" t="str">
            <v>美育课程</v>
          </cell>
          <cell r="I33" t="str">
            <v>Aesthetic Education Course</v>
          </cell>
          <cell r="J33" t="str">
            <v>限选</v>
          </cell>
          <cell r="K33"/>
          <cell r="L33">
            <v>2</v>
          </cell>
          <cell r="M33">
            <v>32</v>
          </cell>
          <cell r="N33">
            <v>32</v>
          </cell>
          <cell r="O33"/>
          <cell r="P33"/>
          <cell r="Q33">
            <v>2</v>
          </cell>
        </row>
        <row r="34">
          <cell r="B34">
            <v>33</v>
          </cell>
          <cell r="C34" t="str">
            <v>通识教育课程平台</v>
          </cell>
          <cell r="D34" t="str">
            <v>其他类</v>
          </cell>
          <cell r="E34"/>
          <cell r="F34">
            <v>1</v>
          </cell>
          <cell r="G34" t="str">
            <v>903002Q1</v>
          </cell>
          <cell r="H34" t="str">
            <v>大学生职业规划</v>
          </cell>
          <cell r="I34" t="str">
            <v>Career Planning</v>
          </cell>
          <cell r="J34" t="str">
            <v>必修</v>
          </cell>
          <cell r="K34"/>
          <cell r="L34">
            <v>0.5</v>
          </cell>
          <cell r="M34">
            <v>8</v>
          </cell>
          <cell r="N34">
            <v>8</v>
          </cell>
          <cell r="O34"/>
          <cell r="P34">
            <v>1</v>
          </cell>
          <cell r="Q34">
            <v>2</v>
          </cell>
        </row>
        <row r="35">
          <cell r="B35">
            <v>34</v>
          </cell>
          <cell r="C35" t="str">
            <v>通识教育课程平台</v>
          </cell>
          <cell r="D35" t="str">
            <v>其他类</v>
          </cell>
          <cell r="E35"/>
          <cell r="F35">
            <v>2</v>
          </cell>
          <cell r="G35" t="str">
            <v>903002Q2</v>
          </cell>
          <cell r="H35" t="str">
            <v>大学生就业指导</v>
          </cell>
          <cell r="I35" t="str">
            <v>Employment Guidance</v>
          </cell>
          <cell r="J35" t="str">
            <v>必修</v>
          </cell>
          <cell r="K35"/>
          <cell r="L35">
            <v>0.5</v>
          </cell>
          <cell r="M35">
            <v>8</v>
          </cell>
          <cell r="N35">
            <v>8</v>
          </cell>
          <cell r="O35"/>
          <cell r="P35">
            <v>6</v>
          </cell>
          <cell r="Q35">
            <v>2</v>
          </cell>
        </row>
        <row r="36">
          <cell r="B36">
            <v>35</v>
          </cell>
          <cell r="C36" t="str">
            <v>通识教育课程平台</v>
          </cell>
          <cell r="D36" t="str">
            <v>其他类</v>
          </cell>
          <cell r="E36"/>
          <cell r="F36">
            <v>3</v>
          </cell>
          <cell r="G36" t="str">
            <v>902004P1</v>
          </cell>
          <cell r="H36" t="str">
            <v>大学生心理与保健</v>
          </cell>
          <cell r="I36" t="str">
            <v>Mental Health Consultation</v>
          </cell>
          <cell r="J36" t="str">
            <v>必修</v>
          </cell>
          <cell r="K36"/>
          <cell r="L36">
            <v>2</v>
          </cell>
          <cell r="M36">
            <v>32</v>
          </cell>
          <cell r="N36">
            <v>32</v>
          </cell>
          <cell r="O36"/>
          <cell r="P36">
            <v>1</v>
          </cell>
          <cell r="Q36">
            <v>2</v>
          </cell>
        </row>
        <row r="37">
          <cell r="B37">
            <v>36</v>
          </cell>
          <cell r="C37" t="str">
            <v>通识教育课程平台</v>
          </cell>
          <cell r="D37" t="str">
            <v>素质拓展类</v>
          </cell>
          <cell r="E37"/>
          <cell r="F37">
            <v>1</v>
          </cell>
          <cell r="G37" t="str">
            <v>903008P1</v>
          </cell>
          <cell r="H37" t="str">
            <v>素质拓展</v>
          </cell>
          <cell r="I37"/>
          <cell r="J37" t="str">
            <v>必修</v>
          </cell>
          <cell r="K37"/>
          <cell r="L37">
            <v>1</v>
          </cell>
          <cell r="M37">
            <v>32</v>
          </cell>
          <cell r="N37"/>
          <cell r="O37">
            <v>32</v>
          </cell>
          <cell r="P37"/>
          <cell r="Q37">
            <v>2</v>
          </cell>
        </row>
        <row r="38">
          <cell r="B38">
            <v>37</v>
          </cell>
          <cell r="C38" t="str">
            <v>通识教育课程平台</v>
          </cell>
          <cell r="D38" t="str">
            <v>通识选修课程</v>
          </cell>
          <cell r="E38"/>
          <cell r="F38">
            <v>1</v>
          </cell>
          <cell r="G38" t="str">
            <v>课程组</v>
          </cell>
          <cell r="H38" t="str">
            <v>人文素养类</v>
          </cell>
          <cell r="I38" t="str">
            <v>Humanities</v>
          </cell>
          <cell r="J38" t="str">
            <v>选修</v>
          </cell>
          <cell r="K38"/>
          <cell r="L38"/>
          <cell r="M38"/>
          <cell r="N38"/>
          <cell r="O38"/>
          <cell r="P38"/>
          <cell r="Q38"/>
        </row>
        <row r="39">
          <cell r="B39">
            <v>38</v>
          </cell>
          <cell r="C39" t="str">
            <v>通识教育课程平台</v>
          </cell>
          <cell r="D39" t="str">
            <v>通识选修课程</v>
          </cell>
          <cell r="E39"/>
          <cell r="F39">
            <v>2</v>
          </cell>
          <cell r="G39" t="str">
            <v>课程组</v>
          </cell>
          <cell r="H39" t="str">
            <v>社会经济类</v>
          </cell>
          <cell r="I39" t="str">
            <v>Sociology and Economics</v>
          </cell>
          <cell r="J39" t="str">
            <v>选修</v>
          </cell>
          <cell r="K39"/>
          <cell r="L39"/>
          <cell r="M39"/>
          <cell r="N39"/>
          <cell r="O39"/>
          <cell r="P39"/>
          <cell r="Q39"/>
        </row>
        <row r="40">
          <cell r="B40">
            <v>39</v>
          </cell>
          <cell r="C40" t="str">
            <v>通识教育课程平台</v>
          </cell>
          <cell r="D40" t="str">
            <v>通识选修课程</v>
          </cell>
          <cell r="E40"/>
          <cell r="F40">
            <v>3</v>
          </cell>
          <cell r="G40" t="str">
            <v>课程组</v>
          </cell>
          <cell r="H40" t="str">
            <v>工程技术类</v>
          </cell>
          <cell r="I40" t="str">
            <v>Engineering Technology</v>
          </cell>
          <cell r="J40" t="str">
            <v>选修</v>
          </cell>
          <cell r="K40"/>
          <cell r="L40"/>
          <cell r="M40"/>
          <cell r="N40"/>
          <cell r="O40"/>
          <cell r="P40"/>
          <cell r="Q40"/>
        </row>
        <row r="41">
          <cell r="B41">
            <v>53</v>
          </cell>
          <cell r="C41" t="str">
            <v>专业能力课程平台</v>
          </cell>
          <cell r="D41" t="str">
            <v>专业大类课程模块</v>
          </cell>
          <cell r="E41" t="str">
            <v>专业基础类</v>
          </cell>
          <cell r="F41">
            <v>1</v>
          </cell>
          <cell r="G41" t="str">
            <v>023013A1</v>
          </cell>
          <cell r="H41" t="str">
            <v>机械制图（1）</v>
          </cell>
          <cell r="I41" t="str">
            <v>Mechanical Drawing(1)</v>
          </cell>
          <cell r="J41" t="str">
            <v>必修</v>
          </cell>
          <cell r="K41" t="str">
            <v>考试</v>
          </cell>
          <cell r="L41">
            <v>3</v>
          </cell>
          <cell r="M41">
            <v>48</v>
          </cell>
          <cell r="N41">
            <v>48</v>
          </cell>
          <cell r="O41">
            <v>0</v>
          </cell>
          <cell r="P41">
            <v>1</v>
          </cell>
          <cell r="Q41">
            <v>3</v>
          </cell>
        </row>
        <row r="42">
          <cell r="B42">
            <v>54</v>
          </cell>
          <cell r="C42" t="str">
            <v>专业能力课程平台</v>
          </cell>
          <cell r="D42" t="str">
            <v>专业大类课程模块</v>
          </cell>
          <cell r="E42" t="str">
            <v>专业基础类</v>
          </cell>
          <cell r="F42">
            <v>2</v>
          </cell>
          <cell r="G42" t="str">
            <v>023013A4</v>
          </cell>
          <cell r="H42" t="str">
            <v>机械制图（2）</v>
          </cell>
          <cell r="I42" t="str">
            <v>Mechanical Drawing(2)</v>
          </cell>
          <cell r="J42" t="str">
            <v>必修</v>
          </cell>
          <cell r="K42" t="str">
            <v>考试</v>
          </cell>
          <cell r="L42">
            <v>2.5</v>
          </cell>
          <cell r="M42">
            <v>40</v>
          </cell>
          <cell r="N42">
            <v>40</v>
          </cell>
          <cell r="O42">
            <v>0</v>
          </cell>
          <cell r="P42">
            <v>2</v>
          </cell>
          <cell r="Q42">
            <v>2.5</v>
          </cell>
        </row>
        <row r="43">
          <cell r="B43">
            <v>59</v>
          </cell>
          <cell r="C43" t="str">
            <v>专业能力课程平台</v>
          </cell>
          <cell r="D43" t="str">
            <v>飞行器设计</v>
          </cell>
          <cell r="E43" t="str">
            <v>必修</v>
          </cell>
          <cell r="F43">
            <v>1</v>
          </cell>
          <cell r="G43" t="str">
            <v>023004B1</v>
          </cell>
          <cell r="H43" t="str">
            <v>机械原理</v>
          </cell>
          <cell r="I43" t="str">
            <v>Mechanisms and Machine Theory</v>
          </cell>
          <cell r="J43" t="str">
            <v>必修</v>
          </cell>
          <cell r="K43" t="str">
            <v>考试</v>
          </cell>
          <cell r="L43">
            <v>3</v>
          </cell>
          <cell r="M43">
            <v>48</v>
          </cell>
          <cell r="N43">
            <v>42</v>
          </cell>
          <cell r="O43">
            <v>6</v>
          </cell>
          <cell r="P43">
            <v>4</v>
          </cell>
          <cell r="Q43">
            <v>3</v>
          </cell>
        </row>
        <row r="44">
          <cell r="B44">
            <v>60</v>
          </cell>
          <cell r="C44" t="str">
            <v>专业能力课程平台</v>
          </cell>
          <cell r="D44" t="str">
            <v>飞行器设计</v>
          </cell>
          <cell r="E44" t="str">
            <v>必修</v>
          </cell>
          <cell r="F44">
            <v>2</v>
          </cell>
          <cell r="G44" t="str">
            <v>023003A1</v>
          </cell>
          <cell r="H44" t="str">
            <v>机械设计</v>
          </cell>
          <cell r="I44" t="str">
            <v>Machine Design</v>
          </cell>
          <cell r="J44" t="str">
            <v>必修</v>
          </cell>
          <cell r="K44" t="str">
            <v>考试</v>
          </cell>
          <cell r="L44">
            <v>4</v>
          </cell>
          <cell r="M44">
            <v>64</v>
          </cell>
          <cell r="N44">
            <v>58</v>
          </cell>
          <cell r="O44">
            <v>6</v>
          </cell>
          <cell r="P44">
            <v>5</v>
          </cell>
          <cell r="Q44">
            <v>4</v>
          </cell>
        </row>
        <row r="45">
          <cell r="B45">
            <v>49</v>
          </cell>
          <cell r="C45" t="str">
            <v>专业能力课程平台</v>
          </cell>
          <cell r="D45" t="str">
            <v>专业大类课程模块</v>
          </cell>
          <cell r="E45" t="str">
            <v>数学与自然科学类</v>
          </cell>
          <cell r="F45">
            <v>10</v>
          </cell>
          <cell r="G45" t="str">
            <v>023141P1</v>
          </cell>
          <cell r="H45" t="str">
            <v>热力学与传热学基础</v>
          </cell>
          <cell r="I45" t="str">
            <v>Fundamentals of Thermodynamics and Heat Transfer</v>
          </cell>
          <cell r="J45" t="str">
            <v>必修</v>
          </cell>
          <cell r="K45" t="str">
            <v>考查</v>
          </cell>
          <cell r="L45">
            <v>1.5</v>
          </cell>
          <cell r="M45">
            <v>24</v>
          </cell>
          <cell r="N45">
            <v>24</v>
          </cell>
          <cell r="O45">
            <v>0</v>
          </cell>
          <cell r="P45">
            <v>5</v>
          </cell>
          <cell r="Q45">
            <v>1.5</v>
          </cell>
        </row>
        <row r="46">
          <cell r="B46">
            <v>64</v>
          </cell>
          <cell r="C46" t="str">
            <v>专业能力课程平台</v>
          </cell>
          <cell r="D46" t="str">
            <v>飞行器设计</v>
          </cell>
          <cell r="E46" t="str">
            <v>选修</v>
          </cell>
          <cell r="F46">
            <v>3</v>
          </cell>
          <cell r="G46" t="str">
            <v>023440A1</v>
          </cell>
          <cell r="H46" t="str">
            <v>流体力学与液压气压传动</v>
          </cell>
          <cell r="I46" t="str">
            <v>Fluid Mechanics and Hydraulic &amp; Pneumatic Transmission</v>
          </cell>
          <cell r="J46" t="str">
            <v>选修</v>
          </cell>
          <cell r="K46" t="str">
            <v>考试</v>
          </cell>
          <cell r="L46">
            <v>2</v>
          </cell>
          <cell r="M46">
            <v>32</v>
          </cell>
          <cell r="N46">
            <v>26</v>
          </cell>
          <cell r="O46">
            <v>6</v>
          </cell>
          <cell r="P46">
            <v>5</v>
          </cell>
          <cell r="Q46">
            <v>2</v>
          </cell>
        </row>
        <row r="47">
          <cell r="B47">
            <v>62</v>
          </cell>
          <cell r="C47" t="str">
            <v>专业能力课程平台</v>
          </cell>
          <cell r="D47" t="str">
            <v>飞行器设计</v>
          </cell>
          <cell r="E47" t="str">
            <v>选修</v>
          </cell>
          <cell r="F47">
            <v>1</v>
          </cell>
          <cell r="G47"/>
          <cell r="H47" t="str">
            <v>航空发动机原理及构造</v>
          </cell>
          <cell r="I47" t="str">
            <v>Principle and Structure of Aero-engine</v>
          </cell>
          <cell r="J47" t="str">
            <v>选修</v>
          </cell>
          <cell r="K47" t="str">
            <v>考试</v>
          </cell>
          <cell r="L47">
            <v>2</v>
          </cell>
          <cell r="M47">
            <v>32</v>
          </cell>
          <cell r="N47">
            <v>32</v>
          </cell>
          <cell r="O47">
            <v>0</v>
          </cell>
          <cell r="P47">
            <v>6</v>
          </cell>
          <cell r="Q47">
            <v>2</v>
          </cell>
        </row>
        <row r="48">
          <cell r="B48">
            <v>63</v>
          </cell>
          <cell r="C48" t="str">
            <v>专业能力课程平台</v>
          </cell>
          <cell r="D48" t="str">
            <v>飞行器设计</v>
          </cell>
          <cell r="E48" t="str">
            <v>选修</v>
          </cell>
          <cell r="F48">
            <v>2</v>
          </cell>
          <cell r="G48"/>
          <cell r="H48" t="str">
            <v>空气动力学基础</v>
          </cell>
          <cell r="I48" t="str">
            <v>Aerodynamic Foundation</v>
          </cell>
          <cell r="J48" t="str">
            <v>选修</v>
          </cell>
          <cell r="K48" t="str">
            <v>考查</v>
          </cell>
          <cell r="L48">
            <v>2</v>
          </cell>
          <cell r="M48">
            <v>32</v>
          </cell>
          <cell r="N48">
            <v>32</v>
          </cell>
          <cell r="O48">
            <v>0</v>
          </cell>
          <cell r="P48">
            <v>6</v>
          </cell>
          <cell r="Q48">
            <v>2</v>
          </cell>
        </row>
        <row r="49">
          <cell r="B49">
            <v>69</v>
          </cell>
          <cell r="C49" t="str">
            <v>专业能力课程平台</v>
          </cell>
          <cell r="D49" t="str">
            <v>飞行器制造</v>
          </cell>
          <cell r="E49" t="str">
            <v>必修</v>
          </cell>
          <cell r="F49">
            <v>5</v>
          </cell>
          <cell r="G49"/>
          <cell r="H49" t="str">
            <v>飞机结构与原理</v>
          </cell>
          <cell r="I49" t="str">
            <v>Aircraft Structure and Principle</v>
          </cell>
          <cell r="J49" t="str">
            <v>必修</v>
          </cell>
          <cell r="K49" t="str">
            <v>考试</v>
          </cell>
          <cell r="L49">
            <v>2</v>
          </cell>
          <cell r="M49">
            <v>32</v>
          </cell>
          <cell r="N49">
            <v>28</v>
          </cell>
          <cell r="O49">
            <v>4</v>
          </cell>
          <cell r="P49">
            <v>5</v>
          </cell>
          <cell r="Q49">
            <v>2</v>
          </cell>
        </row>
        <row r="50">
          <cell r="B50">
            <v>65</v>
          </cell>
          <cell r="C50" t="str">
            <v>专业能力课程平台</v>
          </cell>
          <cell r="D50" t="str">
            <v>飞行器制造</v>
          </cell>
          <cell r="E50" t="str">
            <v>必修</v>
          </cell>
          <cell r="F50">
            <v>1</v>
          </cell>
          <cell r="G50"/>
          <cell r="H50" t="str">
            <v>专业导论</v>
          </cell>
          <cell r="I50" t="str">
            <v>Introduction to Professional</v>
          </cell>
          <cell r="J50" t="str">
            <v>必修</v>
          </cell>
          <cell r="K50" t="str">
            <v>考查</v>
          </cell>
          <cell r="L50">
            <v>1</v>
          </cell>
          <cell r="M50">
            <v>16</v>
          </cell>
          <cell r="N50">
            <v>16</v>
          </cell>
          <cell r="O50">
            <v>0</v>
          </cell>
          <cell r="P50">
            <v>1</v>
          </cell>
          <cell r="Q50">
            <v>1</v>
          </cell>
        </row>
        <row r="51">
          <cell r="B51">
            <v>50</v>
          </cell>
          <cell r="C51" t="str">
            <v>专业能力课程平台</v>
          </cell>
          <cell r="D51" t="str">
            <v>专业大类课程模块</v>
          </cell>
          <cell r="E51" t="str">
            <v>工程基础类</v>
          </cell>
          <cell r="F51">
            <v>1</v>
          </cell>
          <cell r="G51" t="str">
            <v>023005A2</v>
          </cell>
          <cell r="H51" t="str">
            <v>理论力学</v>
          </cell>
          <cell r="I51" t="str">
            <v>Theoretical Mechanics</v>
          </cell>
          <cell r="J51" t="str">
            <v>必修</v>
          </cell>
          <cell r="K51" t="str">
            <v>考试</v>
          </cell>
          <cell r="L51">
            <v>2.5</v>
          </cell>
          <cell r="M51">
            <v>40</v>
          </cell>
          <cell r="N51">
            <v>40</v>
          </cell>
          <cell r="O51">
            <v>0</v>
          </cell>
          <cell r="P51">
            <v>3</v>
          </cell>
          <cell r="Q51">
            <v>2.5</v>
          </cell>
        </row>
        <row r="52">
          <cell r="B52">
            <v>51</v>
          </cell>
          <cell r="C52" t="str">
            <v>专业能力课程平台</v>
          </cell>
          <cell r="D52" t="str">
            <v>专业大类课程模块</v>
          </cell>
          <cell r="E52" t="str">
            <v>工程基础类</v>
          </cell>
          <cell r="F52">
            <v>2</v>
          </cell>
          <cell r="G52" t="str">
            <v>023001A2</v>
          </cell>
          <cell r="H52" t="str">
            <v>材料力学</v>
          </cell>
          <cell r="I52" t="str">
            <v>Mechanics of Materials</v>
          </cell>
          <cell r="J52" t="str">
            <v>必修</v>
          </cell>
          <cell r="K52" t="str">
            <v>考试</v>
          </cell>
          <cell r="L52">
            <v>2.5</v>
          </cell>
          <cell r="M52">
            <v>40</v>
          </cell>
          <cell r="N52">
            <v>36</v>
          </cell>
          <cell r="O52">
            <v>4</v>
          </cell>
          <cell r="P52">
            <v>4</v>
          </cell>
          <cell r="Q52">
            <v>2.5</v>
          </cell>
        </row>
        <row r="53">
          <cell r="B53">
            <v>52</v>
          </cell>
          <cell r="C53" t="str">
            <v>专业能力课程平台</v>
          </cell>
          <cell r="D53" t="str">
            <v>专业大类课程模块</v>
          </cell>
          <cell r="E53" t="str">
            <v>工程基础类</v>
          </cell>
          <cell r="F53">
            <v>3</v>
          </cell>
          <cell r="G53" t="str">
            <v>023455P1</v>
          </cell>
          <cell r="H53" t="str">
            <v>工程材料及热处理</v>
          </cell>
          <cell r="I53" t="str">
            <v>Engineering Materials and Heat Treatment</v>
          </cell>
          <cell r="J53" t="str">
            <v>必修</v>
          </cell>
          <cell r="K53" t="str">
            <v>考查</v>
          </cell>
          <cell r="L53">
            <v>2.5</v>
          </cell>
          <cell r="M53">
            <v>40</v>
          </cell>
          <cell r="N53">
            <v>36</v>
          </cell>
          <cell r="O53">
            <v>4</v>
          </cell>
          <cell r="P53">
            <v>3</v>
          </cell>
          <cell r="Q53">
            <v>2.5</v>
          </cell>
        </row>
        <row r="54">
          <cell r="B54">
            <v>66</v>
          </cell>
          <cell r="C54" t="str">
            <v>专业能力课程平台</v>
          </cell>
          <cell r="D54" t="str">
            <v>飞行器制造</v>
          </cell>
          <cell r="E54" t="str">
            <v>必修</v>
          </cell>
          <cell r="F54">
            <v>2</v>
          </cell>
          <cell r="G54"/>
          <cell r="H54" t="str">
            <v>飞行器制造技术基础</v>
          </cell>
          <cell r="I54" t="str">
            <v>Technical basis of aircraft manufacturing</v>
          </cell>
          <cell r="J54" t="str">
            <v>必修</v>
          </cell>
          <cell r="K54" t="str">
            <v>考试</v>
          </cell>
          <cell r="L54">
            <v>2</v>
          </cell>
          <cell r="M54">
            <v>32</v>
          </cell>
          <cell r="N54">
            <v>28</v>
          </cell>
          <cell r="O54">
            <v>4</v>
          </cell>
          <cell r="P54">
            <v>4</v>
          </cell>
          <cell r="Q54">
            <v>2</v>
          </cell>
        </row>
        <row r="55">
          <cell r="B55">
            <v>67</v>
          </cell>
          <cell r="C55" t="str">
            <v>专业能力课程平台</v>
          </cell>
          <cell r="D55" t="str">
            <v>飞行器制造</v>
          </cell>
          <cell r="E55" t="str">
            <v>必修</v>
          </cell>
          <cell r="F55">
            <v>3</v>
          </cell>
          <cell r="G55"/>
          <cell r="H55" t="str">
            <v>飞机数字化制造理论与技术</v>
          </cell>
          <cell r="I55" t="str">
            <v>Theory and Technology of Aircraft Digital Manufacturing</v>
          </cell>
          <cell r="J55" t="str">
            <v>必修</v>
          </cell>
          <cell r="K55" t="str">
            <v>考试</v>
          </cell>
          <cell r="L55">
            <v>1.5</v>
          </cell>
          <cell r="M55">
            <v>24</v>
          </cell>
          <cell r="N55">
            <v>20</v>
          </cell>
          <cell r="O55">
            <v>4</v>
          </cell>
          <cell r="P55">
            <v>6</v>
          </cell>
          <cell r="Q55">
            <v>1.5</v>
          </cell>
        </row>
        <row r="56">
          <cell r="B56">
            <v>68</v>
          </cell>
          <cell r="C56" t="str">
            <v>专业能力课程平台</v>
          </cell>
          <cell r="D56" t="str">
            <v>飞行器制造</v>
          </cell>
          <cell r="E56" t="str">
            <v>必修</v>
          </cell>
          <cell r="F56">
            <v>4</v>
          </cell>
          <cell r="G56" t="str">
            <v>023106A1</v>
          </cell>
          <cell r="H56" t="str">
            <v>数控技术</v>
          </cell>
          <cell r="I56" t="str">
            <v>NC Technology</v>
          </cell>
          <cell r="J56" t="str">
            <v>必修</v>
          </cell>
          <cell r="K56" t="str">
            <v>考试</v>
          </cell>
          <cell r="L56">
            <v>3</v>
          </cell>
          <cell r="M56">
            <v>48</v>
          </cell>
          <cell r="N56">
            <v>44</v>
          </cell>
          <cell r="O56">
            <v>4</v>
          </cell>
          <cell r="P56">
            <v>6</v>
          </cell>
          <cell r="Q56">
            <v>3</v>
          </cell>
        </row>
        <row r="57">
          <cell r="B57">
            <v>72</v>
          </cell>
          <cell r="C57" t="str">
            <v>专业能力课程平台</v>
          </cell>
          <cell r="D57" t="str">
            <v>飞行器制造</v>
          </cell>
          <cell r="E57" t="str">
            <v>选修</v>
          </cell>
          <cell r="F57">
            <v>1</v>
          </cell>
          <cell r="G57"/>
          <cell r="H57" t="str">
            <v>飞行器特种加工</v>
          </cell>
          <cell r="I57" t="str">
            <v>Aircraft Special Processing</v>
          </cell>
          <cell r="J57" t="str">
            <v>选修</v>
          </cell>
          <cell r="K57" t="str">
            <v>考查</v>
          </cell>
          <cell r="L57">
            <v>2</v>
          </cell>
          <cell r="M57">
            <v>32</v>
          </cell>
          <cell r="N57">
            <v>16</v>
          </cell>
          <cell r="O57">
            <v>16</v>
          </cell>
          <cell r="P57">
            <v>7</v>
          </cell>
          <cell r="Q57">
            <v>2</v>
          </cell>
        </row>
        <row r="58">
          <cell r="B58">
            <v>73</v>
          </cell>
          <cell r="C58" t="str">
            <v>专业能力课程平台</v>
          </cell>
          <cell r="D58" t="str">
            <v>飞行器制造</v>
          </cell>
          <cell r="E58" t="str">
            <v>选修</v>
          </cell>
          <cell r="F58">
            <v>2</v>
          </cell>
          <cell r="G58"/>
          <cell r="H58" t="str">
            <v>复合材料成型原理与工艺</v>
          </cell>
          <cell r="I58" t="str">
            <v>Forming Principle and Process of Composite Material</v>
          </cell>
          <cell r="J58" t="str">
            <v>选修</v>
          </cell>
          <cell r="K58" t="str">
            <v>考查</v>
          </cell>
          <cell r="L58">
            <v>2</v>
          </cell>
          <cell r="M58">
            <v>32</v>
          </cell>
          <cell r="N58">
            <v>24</v>
          </cell>
          <cell r="O58">
            <v>8</v>
          </cell>
          <cell r="P58">
            <v>5</v>
          </cell>
          <cell r="Q58">
            <v>2</v>
          </cell>
        </row>
        <row r="59">
          <cell r="B59">
            <v>58</v>
          </cell>
          <cell r="C59" t="str">
            <v>专业能力课程平台</v>
          </cell>
          <cell r="D59" t="str">
            <v>专业大类课程模块</v>
          </cell>
          <cell r="E59" t="str">
            <v>专业基础类</v>
          </cell>
          <cell r="F59">
            <v>6</v>
          </cell>
          <cell r="G59" t="str">
            <v>013016B1</v>
          </cell>
          <cell r="H59" t="str">
            <v>电工电子技术</v>
          </cell>
          <cell r="I59" t="str">
            <v>Electrical and Electronic Technology</v>
          </cell>
          <cell r="J59" t="str">
            <v>必修</v>
          </cell>
          <cell r="K59" t="str">
            <v>考试</v>
          </cell>
          <cell r="L59">
            <v>4</v>
          </cell>
          <cell r="M59">
            <v>64</v>
          </cell>
          <cell r="N59">
            <v>56</v>
          </cell>
          <cell r="O59">
            <v>8</v>
          </cell>
          <cell r="P59">
            <v>4</v>
          </cell>
          <cell r="Q59">
            <v>4</v>
          </cell>
        </row>
        <row r="60">
          <cell r="B60">
            <v>55</v>
          </cell>
          <cell r="C60" t="str">
            <v>专业能力课程平台</v>
          </cell>
          <cell r="D60" t="str">
            <v>专业大类课程模块</v>
          </cell>
          <cell r="E60" t="str">
            <v>专业基础类</v>
          </cell>
          <cell r="F60">
            <v>3</v>
          </cell>
          <cell r="G60" t="str">
            <v>023002P1</v>
          </cell>
          <cell r="H60" t="str">
            <v>互换性与技术测量</v>
          </cell>
          <cell r="I60" t="str">
            <v>Interchangeability and Measurement Technology</v>
          </cell>
          <cell r="J60" t="str">
            <v>必修</v>
          </cell>
          <cell r="K60" t="str">
            <v>考查</v>
          </cell>
          <cell r="L60">
            <v>2</v>
          </cell>
          <cell r="M60">
            <v>32</v>
          </cell>
          <cell r="N60">
            <v>24</v>
          </cell>
          <cell r="O60">
            <v>8</v>
          </cell>
          <cell r="P60">
            <v>3</v>
          </cell>
          <cell r="Q60">
            <v>2</v>
          </cell>
        </row>
        <row r="61">
          <cell r="B61">
            <v>74</v>
          </cell>
          <cell r="C61" t="str">
            <v>专业能力课程平台</v>
          </cell>
          <cell r="D61" t="str">
            <v>制造自动化与管理</v>
          </cell>
          <cell r="E61" t="str">
            <v>必修</v>
          </cell>
          <cell r="F61">
            <v>1</v>
          </cell>
          <cell r="G61" t="str">
            <v>023167P2</v>
          </cell>
          <cell r="H61" t="str">
            <v>控制工程基础</v>
          </cell>
          <cell r="I61" t="str">
            <v>Fundamentals of Control Engineering</v>
          </cell>
          <cell r="J61" t="str">
            <v>必修</v>
          </cell>
          <cell r="K61" t="str">
            <v>考试</v>
          </cell>
          <cell r="L61">
            <v>2</v>
          </cell>
          <cell r="M61">
            <v>32</v>
          </cell>
          <cell r="N61">
            <v>28</v>
          </cell>
          <cell r="O61">
            <v>4</v>
          </cell>
          <cell r="P61">
            <v>5</v>
          </cell>
          <cell r="Q61">
            <v>2</v>
          </cell>
        </row>
        <row r="62">
          <cell r="B62">
            <v>75</v>
          </cell>
          <cell r="C62" t="str">
            <v>专业能力课程平台</v>
          </cell>
          <cell r="D62" t="str">
            <v>制造自动化与管理</v>
          </cell>
          <cell r="E62" t="str">
            <v>必修</v>
          </cell>
          <cell r="F62">
            <v>2</v>
          </cell>
          <cell r="G62" t="str">
            <v>023006A3</v>
          </cell>
          <cell r="H62" t="str">
            <v>传感与检测技术</v>
          </cell>
          <cell r="I62" t="str">
            <v>Sensing and Detection Technology</v>
          </cell>
          <cell r="J62" t="str">
            <v>必修</v>
          </cell>
          <cell r="K62" t="str">
            <v>考试</v>
          </cell>
          <cell r="L62">
            <v>2</v>
          </cell>
          <cell r="M62">
            <v>32</v>
          </cell>
          <cell r="N62">
            <v>28</v>
          </cell>
          <cell r="O62">
            <v>4</v>
          </cell>
          <cell r="P62">
            <v>5</v>
          </cell>
          <cell r="Q62">
            <v>2</v>
          </cell>
        </row>
        <row r="63">
          <cell r="B63">
            <v>76</v>
          </cell>
          <cell r="C63" t="str">
            <v>专业能力课程平台</v>
          </cell>
          <cell r="D63" t="str">
            <v>制造自动化与管理</v>
          </cell>
          <cell r="E63" t="str">
            <v>必修</v>
          </cell>
          <cell r="F63">
            <v>3</v>
          </cell>
          <cell r="G63" t="str">
            <v xml:space="preserve">023176P5 </v>
          </cell>
          <cell r="H63" t="str">
            <v>项目管理与经济分析</v>
          </cell>
          <cell r="I63" t="str">
            <v>Project Management and Economic Analysis</v>
          </cell>
          <cell r="J63" t="str">
            <v>必修</v>
          </cell>
          <cell r="K63" t="str">
            <v>考查</v>
          </cell>
          <cell r="L63">
            <v>1.5</v>
          </cell>
          <cell r="M63">
            <v>24</v>
          </cell>
          <cell r="N63">
            <v>24</v>
          </cell>
          <cell r="O63">
            <v>0</v>
          </cell>
          <cell r="P63">
            <v>7</v>
          </cell>
          <cell r="Q63">
            <v>1.5</v>
          </cell>
        </row>
        <row r="64">
          <cell r="B64">
            <v>56</v>
          </cell>
          <cell r="C64" t="str">
            <v>专业能力课程平台</v>
          </cell>
          <cell r="D64" t="str">
            <v>专业大类课程模块</v>
          </cell>
          <cell r="E64" t="str">
            <v>专业基础类</v>
          </cell>
          <cell r="F64">
            <v>4</v>
          </cell>
          <cell r="G64" t="str">
            <v>033032G1</v>
          </cell>
          <cell r="H64" t="str">
            <v>高级语言程序设计基础</v>
          </cell>
          <cell r="I64" t="str">
            <v>Fundamentals of Advanced  Language Programming</v>
          </cell>
          <cell r="J64" t="str">
            <v>必修</v>
          </cell>
          <cell r="K64" t="str">
            <v>考试</v>
          </cell>
          <cell r="L64">
            <v>2</v>
          </cell>
          <cell r="M64">
            <v>32</v>
          </cell>
          <cell r="N64">
            <v>32</v>
          </cell>
          <cell r="O64">
            <v>0</v>
          </cell>
          <cell r="P64">
            <v>2</v>
          </cell>
          <cell r="Q64">
            <v>2</v>
          </cell>
        </row>
        <row r="65">
          <cell r="B65">
            <v>78</v>
          </cell>
          <cell r="C65" t="str">
            <v>专业能力课程平台</v>
          </cell>
          <cell r="D65" t="str">
            <v>制造自动化与管理</v>
          </cell>
          <cell r="E65" t="str">
            <v>选修</v>
          </cell>
          <cell r="F65">
            <v>1</v>
          </cell>
          <cell r="G65"/>
          <cell r="H65" t="str">
            <v>飞行器加工质量控制</v>
          </cell>
          <cell r="I65" t="str">
            <v>Aircraft Processing Quality Control</v>
          </cell>
          <cell r="J65" t="str">
            <v>选修</v>
          </cell>
          <cell r="K65" t="str">
            <v>考查</v>
          </cell>
          <cell r="L65">
            <v>2</v>
          </cell>
          <cell r="M65">
            <v>32</v>
          </cell>
          <cell r="N65">
            <v>28</v>
          </cell>
          <cell r="O65">
            <v>4</v>
          </cell>
          <cell r="P65">
            <v>7</v>
          </cell>
          <cell r="Q65">
            <v>2</v>
          </cell>
        </row>
        <row r="66">
          <cell r="B66">
            <v>79</v>
          </cell>
          <cell r="C66" t="str">
            <v>专业能力课程平台</v>
          </cell>
          <cell r="D66" t="str">
            <v>制造自动化与管理</v>
          </cell>
          <cell r="E66" t="str">
            <v>选修</v>
          </cell>
          <cell r="F66">
            <v>2</v>
          </cell>
          <cell r="G66" t="str">
            <v>023032P1</v>
          </cell>
          <cell r="H66" t="str">
            <v>工业机器人</v>
          </cell>
          <cell r="I66" t="str">
            <v>Industrial Robot</v>
          </cell>
          <cell r="J66" t="str">
            <v>选修</v>
          </cell>
          <cell r="K66" t="str">
            <v>考查</v>
          </cell>
          <cell r="L66">
            <v>2</v>
          </cell>
          <cell r="M66">
            <v>32</v>
          </cell>
          <cell r="N66">
            <v>24</v>
          </cell>
          <cell r="O66">
            <v>8</v>
          </cell>
          <cell r="P66">
            <v>7</v>
          </cell>
          <cell r="Q66">
            <v>2</v>
          </cell>
        </row>
        <row r="67">
          <cell r="B67">
            <v>77</v>
          </cell>
          <cell r="C67" t="str">
            <v>专业能力课程平台</v>
          </cell>
          <cell r="D67" t="str">
            <v>制造自动化与管理</v>
          </cell>
          <cell r="E67" t="str">
            <v>必修</v>
          </cell>
          <cell r="F67">
            <v>4</v>
          </cell>
          <cell r="H67" t="str">
            <v>航空维修工程学</v>
          </cell>
          <cell r="I67" t="str">
            <v>Aviation Maintenance Engineering</v>
          </cell>
          <cell r="J67" t="str">
            <v>必修</v>
          </cell>
          <cell r="K67" t="str">
            <v>考查</v>
          </cell>
          <cell r="L67">
            <v>2</v>
          </cell>
          <cell r="M67">
            <v>32</v>
          </cell>
          <cell r="N67">
            <v>24</v>
          </cell>
          <cell r="O67">
            <v>8</v>
          </cell>
          <cell r="P67">
            <v>7</v>
          </cell>
          <cell r="Q67">
            <v>2</v>
          </cell>
        </row>
        <row r="68">
          <cell r="B68">
            <v>40</v>
          </cell>
          <cell r="C68" t="str">
            <v>专业能力课程平台</v>
          </cell>
          <cell r="D68" t="str">
            <v>专业大类课程模块</v>
          </cell>
          <cell r="E68" t="str">
            <v>数学与自然科学类</v>
          </cell>
          <cell r="F68">
            <v>1</v>
          </cell>
          <cell r="G68" t="str">
            <v>533089A1</v>
          </cell>
          <cell r="H68" t="str">
            <v>高等数学A（1）</v>
          </cell>
          <cell r="I68" t="str">
            <v>Advanced Mathematics A(1)</v>
          </cell>
          <cell r="J68" t="str">
            <v>必修</v>
          </cell>
          <cell r="K68" t="str">
            <v>考试</v>
          </cell>
          <cell r="L68">
            <v>5</v>
          </cell>
          <cell r="M68">
            <v>80</v>
          </cell>
          <cell r="N68">
            <v>80</v>
          </cell>
          <cell r="O68">
            <v>0</v>
          </cell>
          <cell r="P68">
            <v>1</v>
          </cell>
          <cell r="Q68">
            <v>5</v>
          </cell>
        </row>
        <row r="69">
          <cell r="B69">
            <v>41</v>
          </cell>
          <cell r="C69" t="str">
            <v>专业能力课程平台</v>
          </cell>
          <cell r="D69" t="str">
            <v>专业大类课程模块</v>
          </cell>
          <cell r="E69" t="str">
            <v>数学与自然科学类</v>
          </cell>
          <cell r="F69">
            <v>2</v>
          </cell>
          <cell r="G69" t="str">
            <v>533089A2</v>
          </cell>
          <cell r="H69" t="str">
            <v>高等数学A（2）</v>
          </cell>
          <cell r="I69" t="str">
            <v>Advanced Mathematics A(2)</v>
          </cell>
          <cell r="J69" t="str">
            <v>必修</v>
          </cell>
          <cell r="K69" t="str">
            <v>考试</v>
          </cell>
          <cell r="L69">
            <v>6</v>
          </cell>
          <cell r="M69">
            <v>96</v>
          </cell>
          <cell r="N69">
            <v>96</v>
          </cell>
          <cell r="O69">
            <v>0</v>
          </cell>
          <cell r="P69">
            <v>2</v>
          </cell>
          <cell r="Q69">
            <v>6</v>
          </cell>
        </row>
        <row r="70">
          <cell r="B70">
            <v>42</v>
          </cell>
          <cell r="C70" t="str">
            <v>专业能力课程平台</v>
          </cell>
          <cell r="D70" t="str">
            <v>专业大类课程模块</v>
          </cell>
          <cell r="E70" t="str">
            <v>数学与自然科学类</v>
          </cell>
          <cell r="F70">
            <v>3</v>
          </cell>
          <cell r="G70" t="str">
            <v>533091B1</v>
          </cell>
          <cell r="H70" t="str">
            <v>线性代数B</v>
          </cell>
          <cell r="I70" t="str">
            <v>Linear Algebra B</v>
          </cell>
          <cell r="J70" t="str">
            <v>必修</v>
          </cell>
          <cell r="K70" t="str">
            <v>考查</v>
          </cell>
          <cell r="L70">
            <v>2</v>
          </cell>
          <cell r="M70">
            <v>32</v>
          </cell>
          <cell r="N70">
            <v>32</v>
          </cell>
          <cell r="O70">
            <v>0</v>
          </cell>
          <cell r="P70">
            <v>3</v>
          </cell>
          <cell r="Q70">
            <v>2</v>
          </cell>
        </row>
        <row r="71">
          <cell r="B71">
            <v>43</v>
          </cell>
          <cell r="C71" t="str">
            <v>专业能力课程平台</v>
          </cell>
          <cell r="D71" t="str">
            <v>专业大类课程模块</v>
          </cell>
          <cell r="E71" t="str">
            <v>数学与自然科学类</v>
          </cell>
          <cell r="F71">
            <v>4</v>
          </cell>
          <cell r="G71" t="str">
            <v>533047B1</v>
          </cell>
          <cell r="H71" t="str">
            <v>概率论与数理统计B</v>
          </cell>
          <cell r="I71" t="str">
            <v>Probability Theory and Mathematical Statistics B</v>
          </cell>
          <cell r="J71" t="str">
            <v>必修</v>
          </cell>
          <cell r="K71" t="str">
            <v>考查</v>
          </cell>
          <cell r="L71">
            <v>2</v>
          </cell>
          <cell r="M71">
            <v>32</v>
          </cell>
          <cell r="N71">
            <v>32</v>
          </cell>
          <cell r="O71">
            <v>0</v>
          </cell>
          <cell r="P71">
            <v>5</v>
          </cell>
          <cell r="Q71">
            <v>2</v>
          </cell>
        </row>
        <row r="72">
          <cell r="B72">
            <v>44</v>
          </cell>
          <cell r="C72" t="str">
            <v>专业能力课程平台</v>
          </cell>
          <cell r="D72" t="str">
            <v>专业大类课程模块</v>
          </cell>
          <cell r="E72" t="str">
            <v>数学与自然科学类</v>
          </cell>
          <cell r="F72">
            <v>5</v>
          </cell>
          <cell r="G72" t="str">
            <v>533008G1</v>
          </cell>
          <cell r="H72" t="str">
            <v>大学物理B（1）</v>
          </cell>
          <cell r="I72" t="str">
            <v>College Physics B（1）</v>
          </cell>
          <cell r="J72" t="str">
            <v>必修</v>
          </cell>
          <cell r="K72" t="str">
            <v>考试</v>
          </cell>
          <cell r="L72">
            <v>4</v>
          </cell>
          <cell r="M72">
            <v>64</v>
          </cell>
          <cell r="N72">
            <v>64</v>
          </cell>
          <cell r="O72">
            <v>0</v>
          </cell>
          <cell r="P72">
            <v>2</v>
          </cell>
          <cell r="Q72">
            <v>4</v>
          </cell>
        </row>
        <row r="73">
          <cell r="B73">
            <v>45</v>
          </cell>
          <cell r="C73" t="str">
            <v>专业能力课程平台</v>
          </cell>
          <cell r="D73" t="str">
            <v>专业大类课程模块</v>
          </cell>
          <cell r="E73" t="str">
            <v>数学与自然科学类</v>
          </cell>
          <cell r="F73">
            <v>6</v>
          </cell>
          <cell r="G73" t="str">
            <v>533008G2</v>
          </cell>
          <cell r="H73" t="str">
            <v>大学物理B（2）</v>
          </cell>
          <cell r="I73" t="str">
            <v>College Physics B（2）</v>
          </cell>
          <cell r="J73" t="str">
            <v>必修</v>
          </cell>
          <cell r="K73" t="str">
            <v>考试</v>
          </cell>
          <cell r="L73">
            <v>3</v>
          </cell>
          <cell r="M73">
            <v>48</v>
          </cell>
          <cell r="N73">
            <v>48</v>
          </cell>
          <cell r="O73">
            <v>0</v>
          </cell>
          <cell r="P73">
            <v>3</v>
          </cell>
          <cell r="Q73">
            <v>3</v>
          </cell>
        </row>
        <row r="74">
          <cell r="B74">
            <v>46</v>
          </cell>
          <cell r="C74" t="str">
            <v>专业能力课程平台</v>
          </cell>
          <cell r="D74" t="str">
            <v>专业大类课程模块</v>
          </cell>
          <cell r="E74" t="str">
            <v>数学与自然科学类</v>
          </cell>
          <cell r="F74">
            <v>7</v>
          </cell>
          <cell r="G74" t="str">
            <v>533009B1</v>
          </cell>
          <cell r="H74" t="str">
            <v>大学物理实验B（1）</v>
          </cell>
          <cell r="I74" t="str">
            <v>College Physics Experiment B(1)</v>
          </cell>
          <cell r="J74" t="str">
            <v>必修</v>
          </cell>
          <cell r="K74" t="str">
            <v>考查</v>
          </cell>
          <cell r="L74">
            <v>0.5</v>
          </cell>
          <cell r="M74">
            <v>16</v>
          </cell>
          <cell r="N74">
            <v>0</v>
          </cell>
          <cell r="O74">
            <v>16</v>
          </cell>
          <cell r="P74">
            <v>2</v>
          </cell>
          <cell r="Q74">
            <v>0.5</v>
          </cell>
        </row>
        <row r="75">
          <cell r="B75">
            <v>47</v>
          </cell>
          <cell r="C75" t="str">
            <v>专业能力课程平台</v>
          </cell>
          <cell r="D75" t="str">
            <v>专业大类课程模块</v>
          </cell>
          <cell r="E75" t="str">
            <v>数学与自然科学类</v>
          </cell>
          <cell r="F75">
            <v>8</v>
          </cell>
          <cell r="G75" t="str">
            <v>533009B2</v>
          </cell>
          <cell r="H75" t="str">
            <v>大学物理实验B（2）</v>
          </cell>
          <cell r="I75" t="str">
            <v>College Physics Experiment B(2)</v>
          </cell>
          <cell r="J75" t="str">
            <v>必修</v>
          </cell>
          <cell r="K75" t="str">
            <v>考查</v>
          </cell>
          <cell r="L75">
            <v>0.5</v>
          </cell>
          <cell r="M75">
            <v>16</v>
          </cell>
          <cell r="N75">
            <v>0</v>
          </cell>
          <cell r="O75">
            <v>16</v>
          </cell>
          <cell r="P75">
            <v>3</v>
          </cell>
          <cell r="Q75">
            <v>0.5</v>
          </cell>
        </row>
        <row r="76">
          <cell r="B76">
            <v>48</v>
          </cell>
          <cell r="C76" t="str">
            <v>专业能力课程平台</v>
          </cell>
          <cell r="D76" t="str">
            <v>专业大类课程模块</v>
          </cell>
          <cell r="E76" t="str">
            <v>数学与自然科学类</v>
          </cell>
          <cell r="F76">
            <v>9</v>
          </cell>
          <cell r="G76" t="str">
            <v>023243P1</v>
          </cell>
          <cell r="H76" t="str">
            <v>普通化学</v>
          </cell>
          <cell r="I76" t="str">
            <v>General Chemistry</v>
          </cell>
          <cell r="J76" t="str">
            <v>必修</v>
          </cell>
          <cell r="K76" t="str">
            <v>考查</v>
          </cell>
          <cell r="L76">
            <v>2</v>
          </cell>
          <cell r="M76">
            <v>32</v>
          </cell>
          <cell r="N76">
            <v>32</v>
          </cell>
          <cell r="O76">
            <v>0</v>
          </cell>
          <cell r="P76">
            <v>6</v>
          </cell>
          <cell r="Q76">
            <v>2</v>
          </cell>
        </row>
        <row r="77">
          <cell r="B77">
            <v>81</v>
          </cell>
          <cell r="C77" t="str">
            <v>专业能力课程平台</v>
          </cell>
          <cell r="D77" t="str">
            <v>综合实践环节</v>
          </cell>
          <cell r="F77">
            <v>1</v>
          </cell>
          <cell r="G77" t="str">
            <v>023014Q1</v>
          </cell>
          <cell r="H77" t="str">
            <v>机械制图测绘</v>
          </cell>
          <cell r="I77" t="str">
            <v>Mechanical Drawing</v>
          </cell>
          <cell r="J77" t="str">
            <v>必修</v>
          </cell>
          <cell r="K77" t="str">
            <v>考查</v>
          </cell>
          <cell r="L77">
            <v>1</v>
          </cell>
          <cell r="M77">
            <v>20</v>
          </cell>
          <cell r="N77">
            <v>0</v>
          </cell>
          <cell r="O77">
            <v>20</v>
          </cell>
          <cell r="P77">
            <v>2</v>
          </cell>
          <cell r="Q77" t="str">
            <v>+1</v>
          </cell>
        </row>
        <row r="78">
          <cell r="B78">
            <v>82</v>
          </cell>
          <cell r="C78" t="str">
            <v>专业能力课程平台</v>
          </cell>
          <cell r="D78" t="str">
            <v>综合实践环节</v>
          </cell>
          <cell r="F78">
            <v>2</v>
          </cell>
          <cell r="H78" t="str">
            <v>认识实习</v>
          </cell>
          <cell r="I78" t="str">
            <v>Cognition Practice</v>
          </cell>
          <cell r="J78" t="str">
            <v>必修</v>
          </cell>
          <cell r="K78" t="str">
            <v>考查</v>
          </cell>
          <cell r="L78">
            <v>1</v>
          </cell>
          <cell r="M78">
            <v>20</v>
          </cell>
          <cell r="N78">
            <v>0</v>
          </cell>
          <cell r="O78">
            <v>20</v>
          </cell>
          <cell r="P78">
            <v>2</v>
          </cell>
          <cell r="Q78" t="str">
            <v>+1</v>
          </cell>
        </row>
        <row r="79">
          <cell r="B79">
            <v>83</v>
          </cell>
          <cell r="C79" t="str">
            <v>专业能力课程平台</v>
          </cell>
          <cell r="D79" t="str">
            <v>综合实践环节</v>
          </cell>
          <cell r="F79">
            <v>3</v>
          </cell>
          <cell r="G79" t="str">
            <v>593001X1</v>
          </cell>
          <cell r="H79" t="str">
            <v>工科基本训练（钳工）</v>
          </cell>
          <cell r="I79" t="str">
            <v>Engineering  BasicTraining(Turning and Benching)</v>
          </cell>
          <cell r="J79" t="str">
            <v>必修</v>
          </cell>
          <cell r="K79" t="str">
            <v>考查</v>
          </cell>
          <cell r="L79">
            <v>1</v>
          </cell>
          <cell r="M79">
            <v>32</v>
          </cell>
          <cell r="N79">
            <v>0</v>
          </cell>
          <cell r="O79">
            <v>32</v>
          </cell>
          <cell r="P79">
            <v>3</v>
          </cell>
          <cell r="Q79">
            <v>2</v>
          </cell>
        </row>
        <row r="80">
          <cell r="B80">
            <v>84</v>
          </cell>
          <cell r="C80" t="str">
            <v>专业能力课程平台</v>
          </cell>
          <cell r="D80" t="str">
            <v>综合实践环节</v>
          </cell>
          <cell r="F80">
            <v>4</v>
          </cell>
          <cell r="G80" t="str">
            <v>593001X3</v>
          </cell>
          <cell r="H80" t="str">
            <v>工科基本训练（数控加工）</v>
          </cell>
          <cell r="I80" t="str">
            <v>Engineering Basic Training(NC Machining)</v>
          </cell>
          <cell r="J80" t="str">
            <v>必修</v>
          </cell>
          <cell r="K80" t="str">
            <v>考查</v>
          </cell>
          <cell r="L80">
            <v>1</v>
          </cell>
          <cell r="M80">
            <v>32</v>
          </cell>
          <cell r="N80">
            <v>0</v>
          </cell>
          <cell r="O80">
            <v>32</v>
          </cell>
          <cell r="P80">
            <v>3</v>
          </cell>
          <cell r="Q80">
            <v>2</v>
          </cell>
        </row>
        <row r="81">
          <cell r="B81">
            <v>85</v>
          </cell>
          <cell r="C81" t="str">
            <v>专业能力课程平台</v>
          </cell>
          <cell r="D81" t="str">
            <v>综合实践环节</v>
          </cell>
          <cell r="F81">
            <v>5</v>
          </cell>
          <cell r="G81" t="str">
            <v>023458R1</v>
          </cell>
          <cell r="H81" t="str">
            <v>三维数字化建模仿真实训</v>
          </cell>
          <cell r="I81" t="str">
            <v>Training of 3D Modeling &amp; Simulation</v>
          </cell>
          <cell r="J81" t="str">
            <v>必修</v>
          </cell>
          <cell r="K81" t="str">
            <v>考查</v>
          </cell>
          <cell r="L81">
            <v>2</v>
          </cell>
          <cell r="M81">
            <v>40</v>
          </cell>
          <cell r="N81">
            <v>0</v>
          </cell>
          <cell r="O81">
            <v>40</v>
          </cell>
          <cell r="P81">
            <v>6</v>
          </cell>
          <cell r="Q81" t="str">
            <v>+2</v>
          </cell>
        </row>
        <row r="82">
          <cell r="B82">
            <v>86</v>
          </cell>
          <cell r="C82" t="str">
            <v>专业能力课程平台</v>
          </cell>
          <cell r="D82" t="str">
            <v>综合实践环节</v>
          </cell>
          <cell r="F82">
            <v>6</v>
          </cell>
          <cell r="G82" t="str">
            <v>593002R1</v>
          </cell>
          <cell r="H82" t="str">
            <v>工科基本训练（电子焊装）</v>
          </cell>
          <cell r="I82" t="str">
            <v>Engineering Basic Training(Electronic Soldering)</v>
          </cell>
          <cell r="J82" t="str">
            <v>必修</v>
          </cell>
          <cell r="K82" t="str">
            <v>考查</v>
          </cell>
          <cell r="L82">
            <v>1</v>
          </cell>
          <cell r="M82">
            <v>32</v>
          </cell>
          <cell r="N82">
            <v>0</v>
          </cell>
          <cell r="O82">
            <v>32</v>
          </cell>
          <cell r="P82">
            <v>4</v>
          </cell>
          <cell r="Q82">
            <v>2</v>
          </cell>
        </row>
        <row r="83">
          <cell r="B83">
            <v>87</v>
          </cell>
          <cell r="C83" t="str">
            <v>专业能力课程平台</v>
          </cell>
          <cell r="D83" t="str">
            <v>综合实践环节</v>
          </cell>
          <cell r="F83">
            <v>7</v>
          </cell>
          <cell r="G83" t="str">
            <v>593002R2</v>
          </cell>
          <cell r="H83" t="str">
            <v>工科基本训练（电气控制）</v>
          </cell>
          <cell r="I83" t="str">
            <v>Engineering Basic Training(Electrical Control)</v>
          </cell>
          <cell r="J83" t="str">
            <v>必修</v>
          </cell>
          <cell r="K83" t="str">
            <v>考查</v>
          </cell>
          <cell r="L83">
            <v>1</v>
          </cell>
          <cell r="M83">
            <v>32</v>
          </cell>
          <cell r="N83">
            <v>0</v>
          </cell>
          <cell r="O83">
            <v>32</v>
          </cell>
          <cell r="P83">
            <v>4</v>
          </cell>
          <cell r="Q83">
            <v>2</v>
          </cell>
        </row>
        <row r="84">
          <cell r="B84">
            <v>88</v>
          </cell>
          <cell r="C84" t="str">
            <v>专业能力课程平台</v>
          </cell>
          <cell r="D84" t="str">
            <v>综合实践环节</v>
          </cell>
          <cell r="F84">
            <v>8</v>
          </cell>
          <cell r="G84" t="str">
            <v>023010Q1</v>
          </cell>
          <cell r="H84" t="str">
            <v>机械设计课程设计</v>
          </cell>
          <cell r="I84" t="str">
            <v>Coursework of Mechanical Design</v>
          </cell>
          <cell r="J84" t="str">
            <v>必修</v>
          </cell>
          <cell r="K84" t="str">
            <v>考查</v>
          </cell>
          <cell r="L84">
            <v>2</v>
          </cell>
          <cell r="M84">
            <v>40</v>
          </cell>
          <cell r="N84">
            <v>0</v>
          </cell>
          <cell r="O84">
            <v>40</v>
          </cell>
          <cell r="P84">
            <v>5</v>
          </cell>
          <cell r="Q84" t="str">
            <v>+2</v>
          </cell>
        </row>
        <row r="85">
          <cell r="B85">
            <v>89</v>
          </cell>
          <cell r="C85" t="str">
            <v>专业能力课程平台</v>
          </cell>
          <cell r="D85" t="str">
            <v>综合实践环节</v>
          </cell>
          <cell r="F85">
            <v>9</v>
          </cell>
          <cell r="G85" t="str">
            <v>593001X4</v>
          </cell>
          <cell r="H85" t="str">
            <v>工科基本训练（精加工及数控特种加工）</v>
          </cell>
          <cell r="I85" t="str">
            <v>Engineering Basic Trainin (Finish Machining and NC Special Machining)</v>
          </cell>
          <cell r="J85" t="str">
            <v>必修</v>
          </cell>
          <cell r="K85" t="str">
            <v>考查</v>
          </cell>
          <cell r="L85">
            <v>1</v>
          </cell>
          <cell r="M85">
            <v>32</v>
          </cell>
          <cell r="N85">
            <v>0</v>
          </cell>
          <cell r="O85">
            <v>32</v>
          </cell>
          <cell r="P85">
            <v>6</v>
          </cell>
          <cell r="Q85">
            <v>2</v>
          </cell>
        </row>
        <row r="86">
          <cell r="B86">
            <v>90</v>
          </cell>
          <cell r="C86" t="str">
            <v>专业能力课程平台</v>
          </cell>
          <cell r="D86" t="str">
            <v>综合实践环节</v>
          </cell>
          <cell r="F86">
            <v>10</v>
          </cell>
          <cell r="H86" t="str">
            <v>航模设计与制作综合训练</v>
          </cell>
          <cell r="I86" t="str">
            <v>Comprehensive Training of Model Aircraft Design and Production</v>
          </cell>
          <cell r="J86" t="str">
            <v>必修</v>
          </cell>
          <cell r="K86" t="str">
            <v>考查</v>
          </cell>
          <cell r="L86">
            <v>1</v>
          </cell>
          <cell r="M86">
            <v>20</v>
          </cell>
          <cell r="N86">
            <v>0</v>
          </cell>
          <cell r="O86">
            <v>20</v>
          </cell>
          <cell r="P86">
            <v>7</v>
          </cell>
          <cell r="Q86" t="str">
            <v>+1</v>
          </cell>
        </row>
        <row r="87">
          <cell r="B87">
            <v>91</v>
          </cell>
          <cell r="C87" t="str">
            <v>专业能力课程平台</v>
          </cell>
          <cell r="D87" t="str">
            <v>综合实践环节</v>
          </cell>
          <cell r="F87">
            <v>11</v>
          </cell>
          <cell r="H87" t="str">
            <v>飞行器制造工艺课程设计</v>
          </cell>
          <cell r="I87" t="str">
            <v>Aircraft Manufacturing Process Course Design</v>
          </cell>
          <cell r="J87" t="str">
            <v>必修</v>
          </cell>
          <cell r="K87" t="str">
            <v>考查</v>
          </cell>
          <cell r="L87">
            <v>3</v>
          </cell>
          <cell r="M87">
            <v>60</v>
          </cell>
          <cell r="N87">
            <v>0</v>
          </cell>
          <cell r="O87">
            <v>60</v>
          </cell>
          <cell r="P87">
            <v>6</v>
          </cell>
          <cell r="Q87" t="str">
            <v>+3</v>
          </cell>
        </row>
        <row r="88">
          <cell r="B88">
            <v>92</v>
          </cell>
          <cell r="C88" t="str">
            <v>专业能力课程平台</v>
          </cell>
          <cell r="D88" t="str">
            <v>综合实践环节</v>
          </cell>
          <cell r="F88">
            <v>12</v>
          </cell>
          <cell r="G88" t="str">
            <v>023094P1</v>
          </cell>
          <cell r="H88" t="str">
            <v>机械制造项目综合实践</v>
          </cell>
          <cell r="I88" t="str">
            <v>Comprehensive Training of Mechanical Manufacture</v>
          </cell>
          <cell r="J88" t="str">
            <v>必修</v>
          </cell>
          <cell r="K88" t="str">
            <v>考查</v>
          </cell>
          <cell r="L88">
            <v>3</v>
          </cell>
          <cell r="M88">
            <v>60</v>
          </cell>
          <cell r="N88">
            <v>0</v>
          </cell>
          <cell r="O88">
            <v>60</v>
          </cell>
          <cell r="P88">
            <v>4</v>
          </cell>
          <cell r="Q88" t="str">
            <v>+3</v>
          </cell>
        </row>
        <row r="89">
          <cell r="B89">
            <v>93</v>
          </cell>
          <cell r="C89" t="str">
            <v>专业能力课程平台</v>
          </cell>
          <cell r="D89" t="str">
            <v>综合实践环节</v>
          </cell>
          <cell r="F89">
            <v>13</v>
          </cell>
          <cell r="G89" t="str">
            <v>023067P1</v>
          </cell>
          <cell r="H89" t="str">
            <v>生产实习</v>
          </cell>
          <cell r="I89" t="str">
            <v>Production Practice</v>
          </cell>
          <cell r="J89" t="str">
            <v>必修</v>
          </cell>
          <cell r="K89" t="str">
            <v>考查</v>
          </cell>
          <cell r="L89">
            <v>3</v>
          </cell>
          <cell r="M89">
            <v>60</v>
          </cell>
          <cell r="N89">
            <v>0</v>
          </cell>
          <cell r="O89">
            <v>60</v>
          </cell>
          <cell r="P89">
            <v>7</v>
          </cell>
          <cell r="Q89" t="str">
            <v>+3</v>
          </cell>
        </row>
        <row r="90">
          <cell r="B90">
            <v>94</v>
          </cell>
          <cell r="C90" t="str">
            <v>专业能力课程平台</v>
          </cell>
          <cell r="D90" t="str">
            <v>综合实践环节</v>
          </cell>
          <cell r="F90">
            <v>14</v>
          </cell>
          <cell r="G90" t="str">
            <v>023065P3</v>
          </cell>
          <cell r="H90" t="str">
            <v>毕业设计</v>
          </cell>
          <cell r="I90" t="str">
            <v>Graduation Design</v>
          </cell>
          <cell r="J90" t="str">
            <v>必修</v>
          </cell>
          <cell r="K90" t="str">
            <v>考查</v>
          </cell>
          <cell r="L90">
            <v>10</v>
          </cell>
          <cell r="M90">
            <v>300</v>
          </cell>
          <cell r="N90">
            <v>0</v>
          </cell>
          <cell r="O90">
            <v>300</v>
          </cell>
          <cell r="P90">
            <v>8</v>
          </cell>
          <cell r="Q90" t="str">
            <v>+15</v>
          </cell>
        </row>
        <row r="91">
          <cell r="B91">
            <v>95</v>
          </cell>
          <cell r="C91" t="str">
            <v>专业能力课程平台</v>
          </cell>
          <cell r="D91" t="str">
            <v>综合实践环节</v>
          </cell>
          <cell r="F91">
            <v>15</v>
          </cell>
          <cell r="G91" t="str">
            <v>023004R1</v>
          </cell>
          <cell r="H91" t="str">
            <v>机械原理课程设计</v>
          </cell>
          <cell r="I91" t="str">
            <v>Coursework of Mechanisms</v>
          </cell>
          <cell r="J91" t="str">
            <v>必修</v>
          </cell>
          <cell r="K91" t="str">
            <v>考查</v>
          </cell>
          <cell r="L91">
            <v>1</v>
          </cell>
          <cell r="M91">
            <v>20</v>
          </cell>
          <cell r="N91">
            <v>0</v>
          </cell>
          <cell r="O91">
            <v>20</v>
          </cell>
          <cell r="P91">
            <v>4</v>
          </cell>
          <cell r="Q91" t="str">
            <v>+1</v>
          </cell>
        </row>
        <row r="92">
          <cell r="B92">
            <v>61</v>
          </cell>
          <cell r="C92" t="str">
            <v>专业能力课程平台</v>
          </cell>
          <cell r="D92" t="str">
            <v>飞行器设计</v>
          </cell>
          <cell r="E92" t="str">
            <v>必修</v>
          </cell>
          <cell r="F92">
            <v>3</v>
          </cell>
          <cell r="H92" t="str">
            <v>航空航天概论</v>
          </cell>
          <cell r="I92" t="str">
            <v>Introduction to Aerospace</v>
          </cell>
          <cell r="J92" t="str">
            <v>必修</v>
          </cell>
          <cell r="K92" t="str">
            <v>考试</v>
          </cell>
          <cell r="L92">
            <v>2</v>
          </cell>
          <cell r="M92">
            <v>32</v>
          </cell>
          <cell r="N92">
            <v>0</v>
          </cell>
          <cell r="O92">
            <v>32</v>
          </cell>
          <cell r="P92">
            <v>4</v>
          </cell>
          <cell r="Q92">
            <v>2</v>
          </cell>
        </row>
        <row r="93">
          <cell r="B93">
            <v>80</v>
          </cell>
          <cell r="C93" t="str">
            <v>专业能力课程平台</v>
          </cell>
          <cell r="D93" t="str">
            <v>制造自动化与管理</v>
          </cell>
          <cell r="E93" t="str">
            <v>选修</v>
          </cell>
          <cell r="F93">
            <v>3</v>
          </cell>
          <cell r="H93" t="str">
            <v>单片机原理与接口技术</v>
          </cell>
          <cell r="I93" t="str">
            <v>MCU Principle and Interface Technology</v>
          </cell>
          <cell r="J93" t="str">
            <v>选修</v>
          </cell>
          <cell r="K93" t="str">
            <v>考试</v>
          </cell>
          <cell r="L93">
            <v>2</v>
          </cell>
          <cell r="M93">
            <v>32</v>
          </cell>
          <cell r="N93">
            <v>28</v>
          </cell>
          <cell r="O93">
            <v>4</v>
          </cell>
          <cell r="P93">
            <v>6</v>
          </cell>
          <cell r="Q93">
            <v>2</v>
          </cell>
        </row>
        <row r="94">
          <cell r="B94">
            <v>57</v>
          </cell>
          <cell r="C94" t="str">
            <v>专业能力课程平台</v>
          </cell>
          <cell r="D94" t="str">
            <v>专业大类课程模块</v>
          </cell>
          <cell r="E94" t="str">
            <v>专业基础类</v>
          </cell>
          <cell r="F94">
            <v>5</v>
          </cell>
          <cell r="G94" t="str">
            <v>033032H1</v>
          </cell>
          <cell r="H94" t="str">
            <v>高级语言程序设计基础实验</v>
          </cell>
          <cell r="I94" t="str">
            <v>Fundamentals of Advanced  Language Programming Experiment</v>
          </cell>
          <cell r="J94" t="str">
            <v>必修</v>
          </cell>
          <cell r="K94" t="str">
            <v>考查</v>
          </cell>
          <cell r="L94">
            <v>1</v>
          </cell>
          <cell r="M94">
            <v>32</v>
          </cell>
          <cell r="N94">
            <v>0</v>
          </cell>
          <cell r="O94">
            <v>32</v>
          </cell>
          <cell r="P94">
            <v>2</v>
          </cell>
          <cell r="Q94">
            <v>2</v>
          </cell>
        </row>
        <row r="95">
          <cell r="B95">
            <v>70</v>
          </cell>
          <cell r="C95" t="str">
            <v>专业能力课程平台</v>
          </cell>
          <cell r="D95" t="str">
            <v>飞行器制造</v>
          </cell>
          <cell r="E95" t="str">
            <v>必修</v>
          </cell>
          <cell r="F95">
            <v>6</v>
          </cell>
          <cell r="G95"/>
          <cell r="H95" t="str">
            <v>飞机装配原理与工艺</v>
          </cell>
          <cell r="I95" t="str">
            <v>Aircraft Assembly principle and process</v>
          </cell>
          <cell r="J95" t="str">
            <v>必修</v>
          </cell>
          <cell r="K95" t="str">
            <v>考试</v>
          </cell>
          <cell r="L95">
            <v>1.5</v>
          </cell>
          <cell r="M95">
            <v>24</v>
          </cell>
          <cell r="N95">
            <v>24</v>
          </cell>
          <cell r="O95">
            <v>0</v>
          </cell>
          <cell r="P95">
            <v>7</v>
          </cell>
          <cell r="Q95">
            <v>1.5</v>
          </cell>
        </row>
        <row r="96">
          <cell r="B96">
            <v>71</v>
          </cell>
          <cell r="C96" t="str">
            <v>专业能力课程平台</v>
          </cell>
          <cell r="D96" t="str">
            <v>飞行器制造</v>
          </cell>
          <cell r="E96" t="str">
            <v>必修</v>
          </cell>
          <cell r="F96">
            <v>7</v>
          </cell>
          <cell r="H96" t="str">
            <v>飞机钣金成型技术</v>
          </cell>
          <cell r="I96" t="str">
            <v>Aircraft Sheet Metal Forming Technology</v>
          </cell>
          <cell r="J96" t="str">
            <v>必修</v>
          </cell>
          <cell r="K96" t="str">
            <v>考试</v>
          </cell>
          <cell r="L96">
            <v>2</v>
          </cell>
          <cell r="M96">
            <v>32</v>
          </cell>
          <cell r="N96">
            <v>28</v>
          </cell>
          <cell r="O96">
            <v>4</v>
          </cell>
          <cell r="P96">
            <v>6</v>
          </cell>
          <cell r="Q96">
            <v>2</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
          </cell>
        </row>
        <row r="114">
          <cell r="B114" t="str">
            <v/>
          </cell>
        </row>
        <row r="115">
          <cell r="B115" t="str">
            <v/>
          </cell>
        </row>
        <row r="116">
          <cell r="B116" t="str">
            <v/>
          </cell>
        </row>
        <row r="117">
          <cell r="B117" t="str">
            <v/>
          </cell>
        </row>
        <row r="118">
          <cell r="B118" t="str">
            <v/>
          </cell>
        </row>
        <row r="119">
          <cell r="B119" t="str">
            <v/>
          </cell>
        </row>
        <row r="120">
          <cell r="B120" t="str">
            <v/>
          </cell>
        </row>
        <row r="121">
          <cell r="B121" t="str">
            <v/>
          </cell>
        </row>
        <row r="122">
          <cell r="B122" t="str">
            <v/>
          </cell>
        </row>
        <row r="123">
          <cell r="B123" t="str">
            <v/>
          </cell>
        </row>
        <row r="124">
          <cell r="B124" t="str">
            <v/>
          </cell>
        </row>
        <row r="125">
          <cell r="B125" t="str">
            <v/>
          </cell>
        </row>
        <row r="126">
          <cell r="B126" t="str">
            <v/>
          </cell>
        </row>
        <row r="127">
          <cell r="B127" t="str">
            <v/>
          </cell>
        </row>
        <row r="128">
          <cell r="B128" t="str">
            <v/>
          </cell>
          <cell r="F128"/>
          <cell r="J128"/>
          <cell r="K128"/>
        </row>
        <row r="129">
          <cell r="B129" t="str">
            <v/>
          </cell>
        </row>
        <row r="130">
          <cell r="B130" t="str">
            <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package" Target="../embeddings/Microsoft_Visio_Drawing.vsdx"/></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30"/>
  <sheetViews>
    <sheetView topLeftCell="A10" zoomScaleNormal="100" zoomScaleSheetLayoutView="90" workbookViewId="0">
      <selection activeCell="A21" sqref="A21:H21"/>
    </sheetView>
  </sheetViews>
  <sheetFormatPr defaultColWidth="8.83203125" defaultRowHeight="14" x14ac:dyDescent="0.3"/>
  <cols>
    <col min="1" max="7" width="8.83203125" style="90"/>
    <col min="8" max="8" width="19.4140625" style="90" customWidth="1"/>
    <col min="9" max="263" width="8.83203125" style="90"/>
    <col min="264" max="264" width="17.33203125" style="90" customWidth="1"/>
    <col min="265" max="519" width="8.83203125" style="90"/>
    <col min="520" max="520" width="17.33203125" style="90" customWidth="1"/>
    <col min="521" max="775" width="8.83203125" style="90"/>
    <col min="776" max="776" width="17.33203125" style="90" customWidth="1"/>
    <col min="777" max="1031" width="8.83203125" style="90"/>
    <col min="1032" max="1032" width="17.33203125" style="90" customWidth="1"/>
    <col min="1033" max="1287" width="8.83203125" style="90"/>
    <col min="1288" max="1288" width="17.33203125" style="90" customWidth="1"/>
    <col min="1289" max="1543" width="8.83203125" style="90"/>
    <col min="1544" max="1544" width="17.33203125" style="90" customWidth="1"/>
    <col min="1545" max="1799" width="8.83203125" style="90"/>
    <col min="1800" max="1800" width="17.33203125" style="90" customWidth="1"/>
    <col min="1801" max="2055" width="8.83203125" style="90"/>
    <col min="2056" max="2056" width="17.33203125" style="90" customWidth="1"/>
    <col min="2057" max="2311" width="8.83203125" style="90"/>
    <col min="2312" max="2312" width="17.33203125" style="90" customWidth="1"/>
    <col min="2313" max="2567" width="8.83203125" style="90"/>
    <col min="2568" max="2568" width="17.33203125" style="90" customWidth="1"/>
    <col min="2569" max="2823" width="8.83203125" style="90"/>
    <col min="2824" max="2824" width="17.33203125" style="90" customWidth="1"/>
    <col min="2825" max="3079" width="8.83203125" style="90"/>
    <col min="3080" max="3080" width="17.33203125" style="90" customWidth="1"/>
    <col min="3081" max="3335" width="8.83203125" style="90"/>
    <col min="3336" max="3336" width="17.33203125" style="90" customWidth="1"/>
    <col min="3337" max="3591" width="8.83203125" style="90"/>
    <col min="3592" max="3592" width="17.33203125" style="90" customWidth="1"/>
    <col min="3593" max="3847" width="8.83203125" style="90"/>
    <col min="3848" max="3848" width="17.33203125" style="90" customWidth="1"/>
    <col min="3849" max="4103" width="8.83203125" style="90"/>
    <col min="4104" max="4104" width="17.33203125" style="90" customWidth="1"/>
    <col min="4105" max="4359" width="8.83203125" style="90"/>
    <col min="4360" max="4360" width="17.33203125" style="90" customWidth="1"/>
    <col min="4361" max="4615" width="8.83203125" style="90"/>
    <col min="4616" max="4616" width="17.33203125" style="90" customWidth="1"/>
    <col min="4617" max="4871" width="8.83203125" style="90"/>
    <col min="4872" max="4872" width="17.33203125" style="90" customWidth="1"/>
    <col min="4873" max="5127" width="8.83203125" style="90"/>
    <col min="5128" max="5128" width="17.33203125" style="90" customWidth="1"/>
    <col min="5129" max="5383" width="8.83203125" style="90"/>
    <col min="5384" max="5384" width="17.33203125" style="90" customWidth="1"/>
    <col min="5385" max="5639" width="8.83203125" style="90"/>
    <col min="5640" max="5640" width="17.33203125" style="90" customWidth="1"/>
    <col min="5641" max="5895" width="8.83203125" style="90"/>
    <col min="5896" max="5896" width="17.33203125" style="90" customWidth="1"/>
    <col min="5897" max="6151" width="8.83203125" style="90"/>
    <col min="6152" max="6152" width="17.33203125" style="90" customWidth="1"/>
    <col min="6153" max="6407" width="8.83203125" style="90"/>
    <col min="6408" max="6408" width="17.33203125" style="90" customWidth="1"/>
    <col min="6409" max="6663" width="8.83203125" style="90"/>
    <col min="6664" max="6664" width="17.33203125" style="90" customWidth="1"/>
    <col min="6665" max="6919" width="8.83203125" style="90"/>
    <col min="6920" max="6920" width="17.33203125" style="90" customWidth="1"/>
    <col min="6921" max="7175" width="8.83203125" style="90"/>
    <col min="7176" max="7176" width="17.33203125" style="90" customWidth="1"/>
    <col min="7177" max="7431" width="8.83203125" style="90"/>
    <col min="7432" max="7432" width="17.33203125" style="90" customWidth="1"/>
    <col min="7433" max="7687" width="8.83203125" style="90"/>
    <col min="7688" max="7688" width="17.33203125" style="90" customWidth="1"/>
    <col min="7689" max="7943" width="8.83203125" style="90"/>
    <col min="7944" max="7944" width="17.33203125" style="90" customWidth="1"/>
    <col min="7945" max="8199" width="8.83203125" style="90"/>
    <col min="8200" max="8200" width="17.33203125" style="90" customWidth="1"/>
    <col min="8201" max="8455" width="8.83203125" style="90"/>
    <col min="8456" max="8456" width="17.33203125" style="90" customWidth="1"/>
    <col min="8457" max="8711" width="8.83203125" style="90"/>
    <col min="8712" max="8712" width="17.33203125" style="90" customWidth="1"/>
    <col min="8713" max="8967" width="8.83203125" style="90"/>
    <col min="8968" max="8968" width="17.33203125" style="90" customWidth="1"/>
    <col min="8969" max="9223" width="8.83203125" style="90"/>
    <col min="9224" max="9224" width="17.33203125" style="90" customWidth="1"/>
    <col min="9225" max="9479" width="8.83203125" style="90"/>
    <col min="9480" max="9480" width="17.33203125" style="90" customWidth="1"/>
    <col min="9481" max="9735" width="8.83203125" style="90"/>
    <col min="9736" max="9736" width="17.33203125" style="90" customWidth="1"/>
    <col min="9737" max="9991" width="8.83203125" style="90"/>
    <col min="9992" max="9992" width="17.33203125" style="90" customWidth="1"/>
    <col min="9993" max="10247" width="8.83203125" style="90"/>
    <col min="10248" max="10248" width="17.33203125" style="90" customWidth="1"/>
    <col min="10249" max="10503" width="8.83203125" style="90"/>
    <col min="10504" max="10504" width="17.33203125" style="90" customWidth="1"/>
    <col min="10505" max="10759" width="8.83203125" style="90"/>
    <col min="10760" max="10760" width="17.33203125" style="90" customWidth="1"/>
    <col min="10761" max="11015" width="8.83203125" style="90"/>
    <col min="11016" max="11016" width="17.33203125" style="90" customWidth="1"/>
    <col min="11017" max="11271" width="8.83203125" style="90"/>
    <col min="11272" max="11272" width="17.33203125" style="90" customWidth="1"/>
    <col min="11273" max="11527" width="8.83203125" style="90"/>
    <col min="11528" max="11528" width="17.33203125" style="90" customWidth="1"/>
    <col min="11529" max="11783" width="8.83203125" style="90"/>
    <col min="11784" max="11784" width="17.33203125" style="90" customWidth="1"/>
    <col min="11785" max="12039" width="8.83203125" style="90"/>
    <col min="12040" max="12040" width="17.33203125" style="90" customWidth="1"/>
    <col min="12041" max="12295" width="8.83203125" style="90"/>
    <col min="12296" max="12296" width="17.33203125" style="90" customWidth="1"/>
    <col min="12297" max="12551" width="8.83203125" style="90"/>
    <col min="12552" max="12552" width="17.33203125" style="90" customWidth="1"/>
    <col min="12553" max="12807" width="8.83203125" style="90"/>
    <col min="12808" max="12808" width="17.33203125" style="90" customWidth="1"/>
    <col min="12809" max="13063" width="8.83203125" style="90"/>
    <col min="13064" max="13064" width="17.33203125" style="90" customWidth="1"/>
    <col min="13065" max="13319" width="8.83203125" style="90"/>
    <col min="13320" max="13320" width="17.33203125" style="90" customWidth="1"/>
    <col min="13321" max="13575" width="8.83203125" style="90"/>
    <col min="13576" max="13576" width="17.33203125" style="90" customWidth="1"/>
    <col min="13577" max="13831" width="8.83203125" style="90"/>
    <col min="13832" max="13832" width="17.33203125" style="90" customWidth="1"/>
    <col min="13833" max="14087" width="8.83203125" style="90"/>
    <col min="14088" max="14088" width="17.33203125" style="90" customWidth="1"/>
    <col min="14089" max="14343" width="8.83203125" style="90"/>
    <col min="14344" max="14344" width="17.33203125" style="90" customWidth="1"/>
    <col min="14345" max="14599" width="8.83203125" style="90"/>
    <col min="14600" max="14600" width="17.33203125" style="90" customWidth="1"/>
    <col min="14601" max="14855" width="8.83203125" style="90"/>
    <col min="14856" max="14856" width="17.33203125" style="90" customWidth="1"/>
    <col min="14857" max="15111" width="8.83203125" style="90"/>
    <col min="15112" max="15112" width="17.33203125" style="90" customWidth="1"/>
    <col min="15113" max="15367" width="8.83203125" style="90"/>
    <col min="15368" max="15368" width="17.33203125" style="90" customWidth="1"/>
    <col min="15369" max="15623" width="8.83203125" style="90"/>
    <col min="15624" max="15624" width="17.33203125" style="90" customWidth="1"/>
    <col min="15625" max="15879" width="8.83203125" style="90"/>
    <col min="15880" max="15880" width="17.33203125" style="90" customWidth="1"/>
    <col min="15881" max="16135" width="8.83203125" style="90"/>
    <col min="16136" max="16136" width="17.33203125" style="90" customWidth="1"/>
    <col min="16137" max="16384" width="8.83203125" style="90"/>
  </cols>
  <sheetData>
    <row r="1" spans="1:8" ht="17.5" x14ac:dyDescent="0.3">
      <c r="A1" s="118" t="s">
        <v>0</v>
      </c>
      <c r="B1" s="119"/>
      <c r="C1" s="119"/>
      <c r="D1" s="119"/>
      <c r="E1" s="119"/>
      <c r="F1" s="119"/>
      <c r="G1" s="119"/>
      <c r="H1" s="119"/>
    </row>
    <row r="2" spans="1:8" ht="17.5" x14ac:dyDescent="0.3">
      <c r="A2" s="118" t="s">
        <v>1</v>
      </c>
      <c r="B2" s="120"/>
      <c r="C2" s="120"/>
      <c r="D2" s="120"/>
      <c r="E2" s="120"/>
      <c r="F2" s="120"/>
      <c r="G2" s="120"/>
      <c r="H2" s="120"/>
    </row>
    <row r="3" spans="1:8" ht="17.5" x14ac:dyDescent="0.3">
      <c r="A3" s="118" t="s">
        <v>471</v>
      </c>
      <c r="B3" s="118"/>
      <c r="C3" s="118"/>
      <c r="D3" s="118"/>
      <c r="E3" s="118"/>
      <c r="F3" s="118"/>
      <c r="G3" s="118"/>
      <c r="H3" s="118"/>
    </row>
    <row r="4" spans="1:8" ht="17.5" x14ac:dyDescent="0.3">
      <c r="A4" s="91"/>
      <c r="B4" s="92"/>
      <c r="C4" s="92"/>
      <c r="D4" s="92"/>
      <c r="E4" s="92"/>
      <c r="F4" s="92"/>
      <c r="G4" s="92"/>
      <c r="H4" s="92"/>
    </row>
    <row r="5" spans="1:8" ht="17.5" x14ac:dyDescent="0.3">
      <c r="A5" s="93" t="s">
        <v>2</v>
      </c>
      <c r="B5" s="92"/>
      <c r="C5" s="92"/>
      <c r="D5" s="92"/>
      <c r="E5" s="92"/>
      <c r="F5" s="92"/>
      <c r="G5" s="92"/>
      <c r="H5" s="92"/>
    </row>
    <row r="6" spans="1:8" ht="48" customHeight="1" x14ac:dyDescent="0.3">
      <c r="A6" s="111" t="s">
        <v>450</v>
      </c>
      <c r="B6" s="111"/>
      <c r="C6" s="111"/>
      <c r="D6" s="111"/>
      <c r="E6" s="111"/>
      <c r="F6" s="111"/>
      <c r="G6" s="111"/>
      <c r="H6" s="111"/>
    </row>
    <row r="7" spans="1:8" ht="20" customHeight="1" x14ac:dyDescent="0.25">
      <c r="A7" s="93" t="s">
        <v>3</v>
      </c>
      <c r="B7" s="93"/>
      <c r="C7" s="93"/>
      <c r="D7" s="93"/>
      <c r="E7" s="93"/>
      <c r="F7" s="93"/>
      <c r="G7" s="93"/>
      <c r="H7" s="93"/>
    </row>
    <row r="8" spans="1:8" ht="219" customHeight="1" x14ac:dyDescent="0.3">
      <c r="A8" s="121" t="s">
        <v>451</v>
      </c>
      <c r="B8" s="121"/>
      <c r="C8" s="121"/>
      <c r="D8" s="121"/>
      <c r="E8" s="121"/>
      <c r="F8" s="121"/>
      <c r="G8" s="121"/>
      <c r="H8" s="121"/>
    </row>
    <row r="9" spans="1:8" ht="23" customHeight="1" x14ac:dyDescent="0.25">
      <c r="A9" s="93" t="s">
        <v>4</v>
      </c>
      <c r="B9" s="93"/>
      <c r="C9" s="93"/>
      <c r="D9" s="93"/>
      <c r="E9" s="93"/>
      <c r="F9" s="93"/>
      <c r="G9" s="93"/>
      <c r="H9" s="93"/>
    </row>
    <row r="10" spans="1:8" ht="333" customHeight="1" x14ac:dyDescent="0.3">
      <c r="A10" s="113" t="s">
        <v>5</v>
      </c>
      <c r="B10" s="113"/>
      <c r="C10" s="113"/>
      <c r="D10" s="113"/>
      <c r="E10" s="113"/>
      <c r="F10" s="113"/>
      <c r="G10" s="113"/>
      <c r="H10" s="113"/>
    </row>
    <row r="11" spans="1:8" ht="15" x14ac:dyDescent="0.25">
      <c r="A11" s="93" t="s">
        <v>6</v>
      </c>
      <c r="B11" s="93"/>
      <c r="C11" s="93"/>
      <c r="D11" s="93"/>
      <c r="E11" s="93"/>
      <c r="F11" s="93"/>
      <c r="G11" s="93"/>
      <c r="H11" s="93"/>
    </row>
    <row r="12" spans="1:8" x14ac:dyDescent="0.25">
      <c r="A12" s="114" t="s">
        <v>7</v>
      </c>
      <c r="B12" s="114"/>
      <c r="C12" s="114"/>
      <c r="D12" s="114"/>
      <c r="E12" s="114"/>
      <c r="F12" s="114"/>
      <c r="G12" s="114"/>
      <c r="H12" s="114"/>
    </row>
    <row r="13" spans="1:8" x14ac:dyDescent="0.25">
      <c r="A13" s="114" t="s">
        <v>470</v>
      </c>
      <c r="B13" s="114"/>
      <c r="C13" s="114"/>
      <c r="D13" s="114"/>
      <c r="E13" s="114"/>
      <c r="F13" s="114"/>
      <c r="G13" s="114"/>
      <c r="H13" s="114"/>
    </row>
    <row r="14" spans="1:8" x14ac:dyDescent="0.25">
      <c r="A14" s="115" t="s">
        <v>8</v>
      </c>
      <c r="B14" s="115"/>
      <c r="C14" s="115"/>
      <c r="D14" s="115"/>
      <c r="E14" s="115"/>
      <c r="F14" s="115"/>
      <c r="G14" s="115"/>
      <c r="H14" s="115"/>
    </row>
    <row r="15" spans="1:8" ht="15" x14ac:dyDescent="0.25">
      <c r="A15" s="93" t="s">
        <v>433</v>
      </c>
      <c r="B15" s="93"/>
      <c r="C15" s="93"/>
      <c r="D15" s="93"/>
      <c r="E15" s="93"/>
      <c r="F15" s="93"/>
      <c r="G15" s="93"/>
      <c r="H15" s="93"/>
    </row>
    <row r="16" spans="1:8" x14ac:dyDescent="0.3">
      <c r="A16" s="116" t="s">
        <v>9</v>
      </c>
      <c r="B16" s="116"/>
      <c r="C16" s="116"/>
      <c r="D16" s="116"/>
      <c r="E16" s="116"/>
      <c r="F16" s="116"/>
      <c r="G16" s="116"/>
      <c r="H16" s="116"/>
    </row>
    <row r="17" spans="1:8" ht="15" x14ac:dyDescent="0.25">
      <c r="A17" s="93" t="s">
        <v>434</v>
      </c>
      <c r="B17" s="93"/>
      <c r="C17" s="93"/>
      <c r="D17" s="93"/>
      <c r="E17" s="93"/>
      <c r="F17" s="93"/>
      <c r="G17" s="93"/>
      <c r="H17" s="93"/>
    </row>
    <row r="18" spans="1:8" ht="42" customHeight="1" x14ac:dyDescent="0.3">
      <c r="A18" s="111" t="s">
        <v>474</v>
      </c>
      <c r="B18" s="111"/>
      <c r="C18" s="111"/>
      <c r="D18" s="111"/>
      <c r="E18" s="111"/>
      <c r="F18" s="111"/>
      <c r="G18" s="111"/>
      <c r="H18" s="111"/>
    </row>
    <row r="19" spans="1:8" ht="30" customHeight="1" x14ac:dyDescent="0.3">
      <c r="A19" s="111" t="s">
        <v>438</v>
      </c>
      <c r="B19" s="111"/>
      <c r="C19" s="111"/>
      <c r="D19" s="111"/>
      <c r="E19" s="111"/>
      <c r="F19" s="111"/>
      <c r="G19" s="111"/>
      <c r="H19" s="111"/>
    </row>
    <row r="20" spans="1:8" ht="19" customHeight="1" x14ac:dyDescent="0.25">
      <c r="A20" s="94" t="s">
        <v>435</v>
      </c>
      <c r="B20" s="94"/>
      <c r="C20" s="94"/>
      <c r="D20" s="94"/>
      <c r="E20" s="94"/>
      <c r="F20" s="94"/>
      <c r="G20" s="94"/>
      <c r="H20" s="94"/>
    </row>
    <row r="21" spans="1:8" ht="34.5" customHeight="1" x14ac:dyDescent="0.3">
      <c r="A21" s="111" t="s">
        <v>432</v>
      </c>
      <c r="B21" s="111"/>
      <c r="C21" s="111"/>
      <c r="D21" s="111"/>
      <c r="E21" s="111"/>
      <c r="F21" s="111"/>
      <c r="G21" s="111"/>
      <c r="H21" s="111"/>
    </row>
    <row r="22" spans="1:8" ht="15" x14ac:dyDescent="0.25">
      <c r="A22" s="117" t="s">
        <v>436</v>
      </c>
      <c r="B22" s="117"/>
      <c r="C22" s="117"/>
      <c r="D22" s="93"/>
      <c r="E22" s="93"/>
      <c r="F22" s="93"/>
      <c r="G22" s="93"/>
      <c r="H22" s="93"/>
    </row>
    <row r="23" spans="1:8" x14ac:dyDescent="0.3">
      <c r="A23" s="111" t="s">
        <v>437</v>
      </c>
      <c r="B23" s="111"/>
      <c r="C23" s="111"/>
      <c r="D23" s="111"/>
      <c r="E23" s="111"/>
      <c r="F23" s="111"/>
      <c r="G23" s="111"/>
      <c r="H23" s="111"/>
    </row>
    <row r="24" spans="1:8" ht="15" x14ac:dyDescent="0.25">
      <c r="A24" s="94"/>
      <c r="B24" s="95"/>
      <c r="C24" s="95"/>
      <c r="D24" s="95"/>
      <c r="E24" s="95"/>
      <c r="F24" s="95"/>
      <c r="G24" s="95"/>
      <c r="H24" s="95"/>
    </row>
    <row r="25" spans="1:8" ht="15" x14ac:dyDescent="0.25">
      <c r="A25" s="94"/>
      <c r="B25" s="95"/>
      <c r="C25" s="95"/>
      <c r="D25" s="95"/>
      <c r="E25" s="95"/>
      <c r="F25" s="95"/>
      <c r="G25" s="95"/>
      <c r="H25" s="95"/>
    </row>
    <row r="26" spans="1:8" ht="15" x14ac:dyDescent="0.25">
      <c r="A26" s="94"/>
    </row>
    <row r="28" spans="1:8" ht="15" x14ac:dyDescent="0.25">
      <c r="A28" s="94"/>
    </row>
    <row r="29" spans="1:8" x14ac:dyDescent="0.3">
      <c r="A29" s="112"/>
      <c r="B29" s="112"/>
      <c r="C29" s="112"/>
      <c r="D29" s="112"/>
      <c r="E29" s="112"/>
      <c r="F29" s="112"/>
      <c r="G29" s="112"/>
      <c r="H29" s="112"/>
    </row>
    <row r="30" spans="1:8" x14ac:dyDescent="0.3">
      <c r="A30" s="112"/>
      <c r="B30" s="112"/>
      <c r="C30" s="112"/>
      <c r="D30" s="112"/>
      <c r="E30" s="112"/>
      <c r="F30" s="112"/>
      <c r="G30" s="112"/>
      <c r="H30" s="112"/>
    </row>
  </sheetData>
  <mergeCells count="17">
    <mergeCell ref="A1:H1"/>
    <mergeCell ref="A2:H2"/>
    <mergeCell ref="A3:H3"/>
    <mergeCell ref="A6:H6"/>
    <mergeCell ref="A8:H8"/>
    <mergeCell ref="A18:H18"/>
    <mergeCell ref="A19:H19"/>
    <mergeCell ref="A29:H29"/>
    <mergeCell ref="A30:H30"/>
    <mergeCell ref="A10:H10"/>
    <mergeCell ref="A12:H12"/>
    <mergeCell ref="A13:H13"/>
    <mergeCell ref="A14:H14"/>
    <mergeCell ref="A16:H16"/>
    <mergeCell ref="A21:H21"/>
    <mergeCell ref="A22:C22"/>
    <mergeCell ref="A23:H23"/>
  </mergeCells>
  <phoneticPr fontId="3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_BaseInfo">
    <tabColor rgb="FFFF0000"/>
  </sheetPr>
  <dimension ref="A1:L29"/>
  <sheetViews>
    <sheetView view="pageBreakPreview" topLeftCell="A13" zoomScaleNormal="145" workbookViewId="0">
      <selection activeCell="B21" sqref="B21"/>
    </sheetView>
  </sheetViews>
  <sheetFormatPr defaultColWidth="9" defaultRowHeight="13" x14ac:dyDescent="0.3"/>
  <cols>
    <col min="1" max="1" width="13.33203125" style="74" customWidth="1"/>
    <col min="2" max="2" width="17.33203125" style="74" customWidth="1"/>
    <col min="3" max="4" width="9.83203125" style="74" customWidth="1"/>
    <col min="5" max="5" width="6.08203125" style="74" customWidth="1"/>
    <col min="6" max="6" width="6" style="74" customWidth="1"/>
    <col min="7" max="7" width="4.5" style="74" customWidth="1"/>
    <col min="8" max="8" width="6" style="74" customWidth="1"/>
    <col min="9" max="9" width="4.5" style="74" customWidth="1"/>
    <col min="10" max="10" width="6" style="74" customWidth="1"/>
    <col min="11" max="11" width="4.5" style="74" customWidth="1"/>
    <col min="12" max="12" width="6" style="74" customWidth="1"/>
    <col min="13" max="16384" width="9" style="74"/>
  </cols>
  <sheetData>
    <row r="1" spans="1:12" ht="24" customHeight="1" x14ac:dyDescent="0.3">
      <c r="A1" s="75" t="s">
        <v>10</v>
      </c>
      <c r="B1" s="76" t="s">
        <v>11</v>
      </c>
    </row>
    <row r="2" spans="1:12" ht="23.25" customHeight="1" x14ac:dyDescent="0.3">
      <c r="A2" s="75" t="s">
        <v>12</v>
      </c>
      <c r="B2" s="77" t="s">
        <v>13</v>
      </c>
    </row>
    <row r="4" spans="1:12" ht="20.25" customHeight="1" x14ac:dyDescent="0.3">
      <c r="A4" s="124" t="s">
        <v>14</v>
      </c>
      <c r="B4" s="124"/>
      <c r="C4" s="124"/>
      <c r="D4" s="124"/>
      <c r="E4" s="124"/>
    </row>
    <row r="5" spans="1:12" x14ac:dyDescent="0.3">
      <c r="A5" s="78" t="s">
        <v>15</v>
      </c>
      <c r="B5" s="79" t="s">
        <v>16</v>
      </c>
      <c r="C5" s="78" t="s">
        <v>17</v>
      </c>
      <c r="D5" s="78" t="s">
        <v>18</v>
      </c>
      <c r="E5" s="78" t="s">
        <v>19</v>
      </c>
    </row>
    <row r="6" spans="1:12" x14ac:dyDescent="0.3">
      <c r="A6" s="80">
        <v>1</v>
      </c>
      <c r="B6" s="81" t="s">
        <v>20</v>
      </c>
      <c r="C6" s="82">
        <v>10</v>
      </c>
      <c r="D6" s="80">
        <f ca="1">SUMIF(课程清单!E:M,B6,课程清单!L:L)</f>
        <v>27.5</v>
      </c>
      <c r="E6" s="80">
        <f ca="1">SUMIF(课程清单!E:M,B6,课程清单!M:M)</f>
        <v>456</v>
      </c>
    </row>
    <row r="7" spans="1:12" x14ac:dyDescent="0.3">
      <c r="A7" s="80">
        <v>2</v>
      </c>
      <c r="B7" s="81" t="s">
        <v>21</v>
      </c>
      <c r="C7" s="82">
        <v>3</v>
      </c>
      <c r="D7" s="80">
        <f ca="1">SUMIF(课程清单!E:M,B7,课程清单!L:L)</f>
        <v>7.5</v>
      </c>
      <c r="E7" s="80">
        <f ca="1">SUMIF(课程清单!E:M,B7,课程清单!M:M)</f>
        <v>120</v>
      </c>
    </row>
    <row r="8" spans="1:12" x14ac:dyDescent="0.3">
      <c r="A8" s="80">
        <v>3</v>
      </c>
      <c r="B8" s="81" t="s">
        <v>22</v>
      </c>
      <c r="C8" s="82">
        <v>6</v>
      </c>
      <c r="D8" s="80">
        <f ca="1">SUMIF(课程清单!E:M,B8,课程清单!L:L)</f>
        <v>14.5</v>
      </c>
      <c r="E8" s="80">
        <f ca="1">SUMIF(课程清单!E:M,B8,课程清单!M:M)</f>
        <v>248</v>
      </c>
    </row>
    <row r="9" spans="1:12" ht="13.5" x14ac:dyDescent="0.3">
      <c r="A9" s="125" t="s">
        <v>23</v>
      </c>
      <c r="B9" s="126"/>
      <c r="C9" s="83">
        <f>SUM(C6:C8)</f>
        <v>19</v>
      </c>
      <c r="D9" s="83">
        <f t="shared" ref="D9:E9" ca="1" si="0">SUM(D6:D8)</f>
        <v>49.5</v>
      </c>
      <c r="E9" s="83">
        <f t="shared" ca="1" si="0"/>
        <v>824</v>
      </c>
    </row>
    <row r="11" spans="1:12" ht="20.25" customHeight="1" x14ac:dyDescent="0.3">
      <c r="A11" s="124" t="s">
        <v>24</v>
      </c>
      <c r="B11" s="124"/>
      <c r="C11" s="124"/>
      <c r="D11" s="124"/>
      <c r="E11" s="124"/>
      <c r="F11" s="124"/>
      <c r="G11" s="124"/>
      <c r="H11" s="124"/>
      <c r="I11" s="124"/>
      <c r="J11" s="124"/>
      <c r="K11" s="124"/>
      <c r="L11" s="124"/>
    </row>
    <row r="12" spans="1:12" x14ac:dyDescent="0.3">
      <c r="A12" s="122" t="s">
        <v>15</v>
      </c>
      <c r="B12" s="123" t="s">
        <v>16</v>
      </c>
      <c r="C12" s="122" t="s">
        <v>25</v>
      </c>
      <c r="D12" s="123" t="s">
        <v>26</v>
      </c>
      <c r="E12" s="123"/>
      <c r="F12" s="123" t="s">
        <v>27</v>
      </c>
      <c r="G12" s="123"/>
      <c r="H12" s="123" t="s">
        <v>28</v>
      </c>
      <c r="I12" s="123"/>
      <c r="J12" s="123" t="s">
        <v>29</v>
      </c>
      <c r="K12" s="123"/>
      <c r="L12" s="122" t="s">
        <v>30</v>
      </c>
    </row>
    <row r="13" spans="1:12" x14ac:dyDescent="0.3">
      <c r="A13" s="123"/>
      <c r="B13" s="123"/>
      <c r="C13" s="123"/>
      <c r="D13" s="79" t="s">
        <v>17</v>
      </c>
      <c r="E13" s="78" t="s">
        <v>18</v>
      </c>
      <c r="F13" s="79" t="s">
        <v>17</v>
      </c>
      <c r="G13" s="78" t="s">
        <v>18</v>
      </c>
      <c r="H13" s="79" t="s">
        <v>17</v>
      </c>
      <c r="I13" s="78" t="s">
        <v>18</v>
      </c>
      <c r="J13" s="79" t="s">
        <v>17</v>
      </c>
      <c r="K13" s="78" t="s">
        <v>18</v>
      </c>
      <c r="L13" s="123"/>
    </row>
    <row r="14" spans="1:12" x14ac:dyDescent="0.3">
      <c r="A14" s="80">
        <v>1</v>
      </c>
      <c r="B14" s="84" t="s">
        <v>431</v>
      </c>
      <c r="C14" s="82">
        <v>3</v>
      </c>
      <c r="D14" s="82"/>
      <c r="E14" s="82"/>
      <c r="F14" s="82"/>
      <c r="G14" s="82"/>
      <c r="H14" s="82"/>
      <c r="I14" s="82"/>
      <c r="J14" s="82"/>
      <c r="K14" s="82"/>
      <c r="L14" s="82">
        <v>3</v>
      </c>
    </row>
    <row r="15" spans="1:12" x14ac:dyDescent="0.3">
      <c r="A15" s="80">
        <v>2</v>
      </c>
      <c r="B15" s="84" t="s">
        <v>32</v>
      </c>
      <c r="C15" s="82">
        <v>8</v>
      </c>
      <c r="D15" s="82"/>
      <c r="E15" s="82"/>
      <c r="F15" s="82"/>
      <c r="G15" s="82"/>
      <c r="H15" s="82"/>
      <c r="I15" s="82"/>
      <c r="J15" s="82"/>
      <c r="K15" s="82"/>
      <c r="L15" s="82">
        <v>2</v>
      </c>
    </row>
    <row r="16" spans="1:12" x14ac:dyDescent="0.3">
      <c r="A16" s="80">
        <v>3</v>
      </c>
      <c r="B16" s="84" t="s">
        <v>33</v>
      </c>
      <c r="C16" s="82">
        <v>4</v>
      </c>
      <c r="D16" s="82"/>
      <c r="E16" s="82"/>
      <c r="F16" s="82"/>
      <c r="G16" s="82"/>
      <c r="H16" s="82"/>
      <c r="I16" s="82"/>
      <c r="J16" s="82"/>
      <c r="K16" s="82"/>
      <c r="L16" s="82">
        <v>3</v>
      </c>
    </row>
    <row r="17" spans="1:12" x14ac:dyDescent="0.3">
      <c r="A17" s="80">
        <v>4</v>
      </c>
      <c r="B17" s="84"/>
      <c r="C17" s="82"/>
      <c r="D17" s="82"/>
      <c r="E17" s="82"/>
      <c r="F17" s="82"/>
      <c r="G17" s="82"/>
      <c r="H17" s="82"/>
      <c r="I17" s="82"/>
      <c r="J17" s="82"/>
      <c r="K17" s="82"/>
      <c r="L17" s="82"/>
    </row>
    <row r="18" spans="1:12" ht="13.5" x14ac:dyDescent="0.3">
      <c r="A18" s="125" t="s">
        <v>23</v>
      </c>
      <c r="B18" s="126"/>
      <c r="C18" s="80">
        <f>SUM(C14:C17)</f>
        <v>15</v>
      </c>
      <c r="D18" s="80">
        <f t="shared" ref="D18:L18" si="1">SUM(D14:D17)</f>
        <v>0</v>
      </c>
      <c r="E18" s="80">
        <f t="shared" si="1"/>
        <v>0</v>
      </c>
      <c r="F18" s="80">
        <f t="shared" si="1"/>
        <v>0</v>
      </c>
      <c r="G18" s="80">
        <f t="shared" si="1"/>
        <v>0</v>
      </c>
      <c r="H18" s="80">
        <f t="shared" si="1"/>
        <v>0</v>
      </c>
      <c r="I18" s="80">
        <f t="shared" si="1"/>
        <v>0</v>
      </c>
      <c r="J18" s="80">
        <f t="shared" si="1"/>
        <v>0</v>
      </c>
      <c r="K18" s="80">
        <f t="shared" si="1"/>
        <v>0</v>
      </c>
      <c r="L18" s="80">
        <f t="shared" si="1"/>
        <v>8</v>
      </c>
    </row>
    <row r="20" spans="1:12" ht="20.25" customHeight="1" x14ac:dyDescent="0.3">
      <c r="A20" s="124" t="s">
        <v>34</v>
      </c>
      <c r="B20" s="124"/>
      <c r="C20" s="85"/>
      <c r="D20" s="85"/>
      <c r="E20" s="85"/>
      <c r="F20" s="85"/>
      <c r="G20" s="85"/>
      <c r="H20" s="85"/>
      <c r="I20" s="85"/>
      <c r="J20" s="85"/>
      <c r="K20" s="85"/>
      <c r="L20" s="85"/>
    </row>
    <row r="21" spans="1:12" ht="33.75" customHeight="1" x14ac:dyDescent="0.3">
      <c r="A21" s="86" t="s">
        <v>17</v>
      </c>
      <c r="B21" s="82">
        <v>16</v>
      </c>
      <c r="C21" s="87"/>
    </row>
    <row r="22" spans="1:12" x14ac:dyDescent="0.3">
      <c r="A22" s="72"/>
      <c r="B22" s="87"/>
      <c r="C22" s="87"/>
    </row>
    <row r="23" spans="1:12" ht="20.25" customHeight="1" x14ac:dyDescent="0.3">
      <c r="A23" s="124" t="s">
        <v>35</v>
      </c>
      <c r="B23" s="124"/>
      <c r="C23" s="124"/>
      <c r="D23" s="124"/>
    </row>
    <row r="24" spans="1:12" x14ac:dyDescent="0.3">
      <c r="A24" s="79" t="s">
        <v>18</v>
      </c>
      <c r="B24" s="80" t="s">
        <v>36</v>
      </c>
      <c r="C24" s="88" t="s">
        <v>37</v>
      </c>
      <c r="D24" s="88" t="s">
        <v>38</v>
      </c>
    </row>
    <row r="25" spans="1:12" x14ac:dyDescent="0.3">
      <c r="A25" s="82">
        <v>5</v>
      </c>
      <c r="B25" s="80">
        <f>IFERROR(SUMIFS(课程清单!M:M,课程清单!E:E,"选修")*A25/SUMIFS(课程清单!L:L,课程清单!E:E,"选修"),0)</f>
        <v>80</v>
      </c>
      <c r="C25" s="80">
        <f>IFERROR(SUMIFS(课程清单!N:N,课程清单!E:E,"选修")*A25/SUMIFS(课程清单!L:L,课程清单!E:E,"选修"),0)</f>
        <v>63.125</v>
      </c>
      <c r="D25" s="80">
        <f>IFERROR(SUMIFS(课程清单!O:O,课程清单!E:E,"选修")*A25/SUMIFS(课程清单!L:L,课程清单!E:E,"选修"),0)</f>
        <v>16.875</v>
      </c>
    </row>
    <row r="27" spans="1:12" x14ac:dyDescent="0.3">
      <c r="A27" s="89" t="s">
        <v>39</v>
      </c>
      <c r="B27" s="89"/>
      <c r="C27" s="89"/>
      <c r="D27" s="89"/>
    </row>
    <row r="28" spans="1:12" x14ac:dyDescent="0.3">
      <c r="A28" s="80" t="s">
        <v>18</v>
      </c>
      <c r="B28" s="80" t="s">
        <v>36</v>
      </c>
      <c r="C28" s="88" t="s">
        <v>37</v>
      </c>
      <c r="D28" s="88" t="s">
        <v>38</v>
      </c>
    </row>
    <row r="29" spans="1:12" x14ac:dyDescent="0.3">
      <c r="A29" s="80">
        <f>SUMIFS(课程清单!L:L,课程清单!E:E,"选修")</f>
        <v>16</v>
      </c>
      <c r="B29" s="80">
        <f>SUMIFS(课程清单!M:M,课程清单!E:E,"选修")</f>
        <v>256</v>
      </c>
      <c r="C29" s="80">
        <f>SUMIFS(课程清单!N:N,课程清单!E:E,"选修")</f>
        <v>202</v>
      </c>
      <c r="D29" s="80">
        <f>SUMIFS(课程清单!O:O,课程清单!E:E,"选修")</f>
        <v>54</v>
      </c>
    </row>
  </sheetData>
  <sheetProtection algorithmName="SHA-512" hashValue="SEZ8ZGLOOGGxAK2NeMVNMNwX/FcgBbK5Y+BKZpH6Jmd3i/XNhrV00I2AhB6rMqjb6f6mLbbe01s0OI2tuF9Spw==" saltValue="klAYIks9Ome5pfV68FqH1Q==" spinCount="100000" sheet="1" objects="1" scenarios="1" selectLockedCells="1"/>
  <mergeCells count="17">
    <mergeCell ref="A4:E4"/>
    <mergeCell ref="A9:B9"/>
    <mergeCell ref="A11:E11"/>
    <mergeCell ref="F11:J11"/>
    <mergeCell ref="K11:L11"/>
    <mergeCell ref="L12:L13"/>
    <mergeCell ref="A20:B20"/>
    <mergeCell ref="A23:B23"/>
    <mergeCell ref="C23:D23"/>
    <mergeCell ref="A12:A13"/>
    <mergeCell ref="B12:B13"/>
    <mergeCell ref="C12:C13"/>
    <mergeCell ref="D12:E12"/>
    <mergeCell ref="F12:G12"/>
    <mergeCell ref="H12:I12"/>
    <mergeCell ref="J12:K12"/>
    <mergeCell ref="A18:B18"/>
  </mergeCells>
  <phoneticPr fontId="30" type="noConversion"/>
  <conditionalFormatting sqref="B25">
    <cfRule type="cellIs" dxfId="24" priority="1" operator="notEqual">
      <formula>$C$25+$D$25</formula>
    </cfRule>
  </conditionalFormatting>
  <dataValidations count="11">
    <dataValidation allowBlank="1" showInputMessage="1" showErrorMessage="1" promptTitle="输入提示" prompt="专业能力模块选修学分（数字）" sqref="A25" xr:uid="{00000000-0002-0000-0200-000000000000}"/>
    <dataValidation allowBlank="1" showInputMessage="1" showErrorMessage="1" promptTitle="输入提示" prompt="输入专业代码（六位数字）" sqref="B1" xr:uid="{00000000-0002-0000-0200-000001000000}"/>
    <dataValidation allowBlank="1" showInputMessage="1" showErrorMessage="1" promptTitle="输入提示" prompt="输入综合实践环节课程数（数字）" sqref="B21" xr:uid="{00000000-0002-0000-0200-000002000000}"/>
    <dataValidation allowBlank="1" showInputMessage="1" showErrorMessage="1" promptTitle="输入提示" prompt="输入专业名称" sqref="B2" xr:uid="{00000000-0002-0000-0200-000003000000}"/>
    <dataValidation allowBlank="1" showInputMessage="1" showErrorMessage="1" promptTitle="输入提示" prompt="在此输入模块名称、学分" sqref="B22" xr:uid="{00000000-0002-0000-0200-000004000000}"/>
    <dataValidation allowBlank="1" showInputMessage="1" showErrorMessage="1" promptTitle="提示" prompt="根据课程清单，按要求学分占所有选修课程总学分的比例自动折算，无需填写" sqref="B25:D25" xr:uid="{00000000-0002-0000-0200-000005000000}"/>
    <dataValidation allowBlank="1" showInputMessage="1" showErrorMessage="1" promptTitle="模块名称" prompt="输入模块名称，不存在的模块，单元格保持为空" sqref="B14:B17" xr:uid="{00000000-0002-0000-0200-000006000000}"/>
    <dataValidation allowBlank="1" showInputMessage="1" showErrorMessage="1" promptTitle="输入提示" prompt="在此输入课程数，若该模块无课程，课程数单元格保持为空" sqref="C6:C8" xr:uid="{00000000-0002-0000-0200-000007000000}"/>
    <dataValidation allowBlank="1" showInputMessage="1" showErrorMessage="1" promptTitle="输入提示" prompt="输入课程数及学分，若无输入内容，则单元格保持为空" sqref="C14:L17" xr:uid="{00000000-0002-0000-0200-000008000000}"/>
    <dataValidation allowBlank="1" showInputMessage="1" showErrorMessage="1" promptTitle="提示" prompt="根据课程清单数据自动汇总，无需填写" sqref="D6:E9" xr:uid="{00000000-0002-0000-0200-000009000000}"/>
    <dataValidation allowBlank="1" showInputMessage="1" showErrorMessage="1" promptTitle="提示" prompt="统计用，自动计算，无需填写" sqref="A27:D29" xr:uid="{00000000-0002-0000-0200-00000A000000}"/>
  </dataValidations>
  <pageMargins left="0.7" right="0.7" top="0.75" bottom="0.75" header="0.3" footer="0.3"/>
  <pageSetup paperSize="9" scale="91" orientation="portrait" r:id="rId1"/>
  <drawing r:id="rId2"/>
  <legacyDrawing r:id="rId3"/>
  <controls>
    <mc:AlternateContent xmlns:mc="http://schemas.openxmlformats.org/markup-compatibility/2006">
      <mc:Choice Requires="x14">
        <control shapeId="11266" r:id="rId4" name="CommandButton1">
          <controlPr defaultSize="0" altText="" r:id="rId5">
            <anchor moveWithCells="1">
              <from>
                <xdr:col>3</xdr:col>
                <xdr:colOff>0</xdr:colOff>
                <xdr:row>0</xdr:row>
                <xdr:rowOff>184150</xdr:rowOff>
              </from>
              <to>
                <xdr:col>6</xdr:col>
                <xdr:colOff>6350</xdr:colOff>
                <xdr:row>2</xdr:row>
                <xdr:rowOff>19050</xdr:rowOff>
              </to>
            </anchor>
          </controlPr>
        </control>
      </mc:Choice>
      <mc:Fallback>
        <control shapeId="11266" r:id="rId4" name="CommandButton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1:J20"/>
  <sheetViews>
    <sheetView zoomScale="130" zoomScaleNormal="130" workbookViewId="0">
      <selection activeCell="C4" sqref="C4"/>
    </sheetView>
  </sheetViews>
  <sheetFormatPr defaultColWidth="9" defaultRowHeight="13" x14ac:dyDescent="0.35"/>
  <cols>
    <col min="1" max="1" width="13.83203125" style="70" customWidth="1"/>
    <col min="2" max="2" width="17.58203125" style="70" customWidth="1"/>
    <col min="3" max="3" width="15" style="70" customWidth="1"/>
    <col min="4" max="4" width="15.58203125" style="70" customWidth="1"/>
    <col min="5" max="5" width="10.5" style="70" customWidth="1"/>
    <col min="6" max="6" width="9" style="70"/>
    <col min="7" max="7" width="15.5" style="70" customWidth="1"/>
    <col min="8" max="8" width="13.83203125" style="70" customWidth="1"/>
    <col min="9" max="10" width="15.5" style="70" customWidth="1"/>
    <col min="11" max="16384" width="9" style="70"/>
  </cols>
  <sheetData>
    <row r="1" spans="1:10" x14ac:dyDescent="0.35">
      <c r="A1" s="70" t="s">
        <v>40</v>
      </c>
      <c r="B1" s="70" t="s">
        <v>41</v>
      </c>
      <c r="C1" s="70" t="s">
        <v>42</v>
      </c>
      <c r="D1" s="70" t="s">
        <v>43</v>
      </c>
      <c r="E1" s="70" t="s">
        <v>44</v>
      </c>
      <c r="F1" s="70" t="s">
        <v>45</v>
      </c>
      <c r="G1" s="71" t="s">
        <v>31</v>
      </c>
      <c r="H1" s="71" t="s">
        <v>32</v>
      </c>
      <c r="I1" s="71" t="s">
        <v>33</v>
      </c>
      <c r="J1" s="71"/>
    </row>
    <row r="2" spans="1:10" x14ac:dyDescent="0.35">
      <c r="A2" s="70" t="s">
        <v>41</v>
      </c>
      <c r="B2" s="72" t="s">
        <v>46</v>
      </c>
      <c r="C2" s="72" t="s">
        <v>20</v>
      </c>
      <c r="D2" s="73" t="s">
        <v>42</v>
      </c>
      <c r="E2" s="70" t="s">
        <v>47</v>
      </c>
      <c r="F2" s="70" t="s">
        <v>48</v>
      </c>
      <c r="G2" s="71" t="s">
        <v>47</v>
      </c>
      <c r="H2" s="71" t="s">
        <v>47</v>
      </c>
      <c r="I2" s="71" t="s">
        <v>47</v>
      </c>
      <c r="J2" s="71"/>
    </row>
    <row r="3" spans="1:10" x14ac:dyDescent="0.35">
      <c r="A3" s="70" t="s">
        <v>43</v>
      </c>
      <c r="B3" s="72" t="s">
        <v>49</v>
      </c>
      <c r="C3" s="72" t="s">
        <v>21</v>
      </c>
      <c r="D3" s="73" t="s">
        <v>31</v>
      </c>
      <c r="E3" s="70" t="s">
        <v>50</v>
      </c>
      <c r="F3" s="70" t="s">
        <v>51</v>
      </c>
      <c r="G3" s="71" t="s">
        <v>50</v>
      </c>
      <c r="H3" s="71" t="s">
        <v>50</v>
      </c>
      <c r="I3" s="71" t="s">
        <v>50</v>
      </c>
      <c r="J3" s="71"/>
    </row>
    <row r="4" spans="1:10" x14ac:dyDescent="0.35">
      <c r="B4" s="72" t="s">
        <v>52</v>
      </c>
      <c r="C4" s="70" t="s">
        <v>22</v>
      </c>
      <c r="D4" s="73" t="s">
        <v>32</v>
      </c>
      <c r="E4" s="70" t="s">
        <v>53</v>
      </c>
      <c r="G4" s="71"/>
      <c r="H4" s="71"/>
      <c r="I4" s="71"/>
      <c r="J4" s="71"/>
    </row>
    <row r="5" spans="1:10" x14ac:dyDescent="0.35">
      <c r="B5" s="70" t="s">
        <v>54</v>
      </c>
      <c r="C5" s="72"/>
      <c r="D5" s="73" t="s">
        <v>33</v>
      </c>
      <c r="G5" s="71"/>
      <c r="H5" s="71"/>
      <c r="I5" s="71"/>
      <c r="J5" s="71"/>
    </row>
    <row r="6" spans="1:10" x14ac:dyDescent="0.35">
      <c r="B6" s="70" t="s">
        <v>55</v>
      </c>
      <c r="D6" s="73" t="s">
        <v>56</v>
      </c>
      <c r="G6" s="71"/>
      <c r="H6" s="71"/>
      <c r="I6" s="71"/>
      <c r="J6" s="71"/>
    </row>
    <row r="7" spans="1:10" x14ac:dyDescent="0.35">
      <c r="B7" s="70" t="s">
        <v>57</v>
      </c>
      <c r="D7" s="71"/>
      <c r="G7" s="71"/>
      <c r="H7" s="71"/>
      <c r="I7" s="71"/>
      <c r="J7" s="71"/>
    </row>
    <row r="8" spans="1:10" x14ac:dyDescent="0.35">
      <c r="B8" s="70" t="s">
        <v>58</v>
      </c>
      <c r="D8" s="71"/>
      <c r="G8" s="71"/>
      <c r="H8" s="71"/>
      <c r="I8" s="71"/>
      <c r="J8" s="71"/>
    </row>
    <row r="9" spans="1:10" x14ac:dyDescent="0.35">
      <c r="B9" s="70" t="s">
        <v>59</v>
      </c>
      <c r="D9" s="71"/>
      <c r="G9" s="71"/>
      <c r="H9" s="71"/>
      <c r="I9" s="71"/>
      <c r="J9" s="71"/>
    </row>
    <row r="10" spans="1:10" x14ac:dyDescent="0.35">
      <c r="B10" s="70" t="s">
        <v>60</v>
      </c>
      <c r="D10" s="71"/>
      <c r="G10" s="71"/>
      <c r="H10" s="71"/>
      <c r="I10" s="71"/>
      <c r="J10" s="71"/>
    </row>
    <row r="11" spans="1:10" x14ac:dyDescent="0.35">
      <c r="B11" s="70" t="s">
        <v>61</v>
      </c>
      <c r="D11" s="71"/>
    </row>
    <row r="12" spans="1:10" x14ac:dyDescent="0.35">
      <c r="D12" s="71"/>
    </row>
    <row r="13" spans="1:10" x14ac:dyDescent="0.35">
      <c r="D13" s="71"/>
    </row>
    <row r="14" spans="1:10" x14ac:dyDescent="0.35">
      <c r="D14" s="71"/>
    </row>
    <row r="15" spans="1:10" x14ac:dyDescent="0.35">
      <c r="D15" s="71"/>
    </row>
    <row r="16" spans="1:10" x14ac:dyDescent="0.35">
      <c r="D16" s="71"/>
    </row>
    <row r="17" spans="4:4" x14ac:dyDescent="0.35">
      <c r="D17" s="71"/>
    </row>
    <row r="18" spans="4:4" x14ac:dyDescent="0.35">
      <c r="D18" s="71"/>
    </row>
    <row r="19" spans="4:4" x14ac:dyDescent="0.35">
      <c r="D19" s="71"/>
    </row>
    <row r="20" spans="4:4" x14ac:dyDescent="0.35">
      <c r="D20" s="71"/>
    </row>
  </sheetData>
  <sheetProtection algorithmName="SHA-512" hashValue="DNwGwWxm6alz+Yri+HvYWuncDqDrScvtnnbAYXLfx62IW2dIT2VWMIwB66/C0qTM2dsQg6jXYQqemR1gW6vMrw==" saltValue="2T1UPvaWl4zkhtqq45+rnA==" spinCount="100000" sheet="1" formatCells="0" formatColumns="0" formatRows="0" insertColumns="0" insertRows="0" insertHyperlinks="0" deleteColumns="0" deleteRows="0" sort="0" autoFilter="0" pivotTables="0"/>
  <phoneticPr fontId="30" type="noConversion"/>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0000"/>
  </sheetPr>
  <dimension ref="A1:V130"/>
  <sheetViews>
    <sheetView topLeftCell="F1" zoomScale="116" zoomScaleNormal="116" zoomScaleSheetLayoutView="70" workbookViewId="0">
      <pane ySplit="1" topLeftCell="A54" activePane="bottomLeft" state="frozen"/>
      <selection pane="bottomLeft" activeCell="H54" sqref="H54"/>
    </sheetView>
  </sheetViews>
  <sheetFormatPr defaultColWidth="9" defaultRowHeight="13" x14ac:dyDescent="0.3"/>
  <cols>
    <col min="1" max="1" width="35.6640625" style="53" customWidth="1"/>
    <col min="2" max="2" width="7.6640625" style="54" customWidth="1"/>
    <col min="3" max="3" width="13.83203125" style="55" customWidth="1"/>
    <col min="4" max="4" width="14.83203125" style="55" customWidth="1"/>
    <col min="5" max="5" width="14.1640625" style="55" customWidth="1"/>
    <col min="6" max="6" width="7.83203125" style="56" customWidth="1"/>
    <col min="7" max="7" width="9.5" style="55" customWidth="1"/>
    <col min="8" max="8" width="24.75" style="55" customWidth="1"/>
    <col min="9" max="9" width="6.25" style="55" customWidth="1"/>
    <col min="10" max="10" width="6.5" style="56" customWidth="1"/>
    <col min="11" max="11" width="3.83203125" style="56" customWidth="1"/>
    <col min="12" max="12" width="5.08203125" style="56" customWidth="1"/>
    <col min="13" max="13" width="6.9140625" style="56" customWidth="1"/>
    <col min="14" max="14" width="8" style="56" customWidth="1"/>
    <col min="15" max="15" width="7.08203125" style="56" customWidth="1"/>
    <col min="16" max="16" width="7.58203125" style="56" customWidth="1"/>
    <col min="17" max="17" width="7.6640625" style="56" customWidth="1"/>
    <col min="18" max="18" width="2.25" style="55" customWidth="1"/>
    <col min="19" max="16384" width="9" style="55"/>
  </cols>
  <sheetData>
    <row r="1" spans="1:17" x14ac:dyDescent="0.3">
      <c r="A1" s="57" t="s">
        <v>62</v>
      </c>
      <c r="B1" s="57" t="s">
        <v>63</v>
      </c>
      <c r="C1" s="57" t="s">
        <v>40</v>
      </c>
      <c r="D1" s="58" t="s">
        <v>64</v>
      </c>
      <c r="E1" s="58" t="s">
        <v>65</v>
      </c>
      <c r="F1" s="58" t="s">
        <v>15</v>
      </c>
      <c r="G1" s="58" t="s">
        <v>66</v>
      </c>
      <c r="H1" s="58" t="s">
        <v>67</v>
      </c>
      <c r="I1" s="58" t="s">
        <v>68</v>
      </c>
      <c r="J1" s="63" t="s">
        <v>69</v>
      </c>
      <c r="K1" s="63" t="s">
        <v>45</v>
      </c>
      <c r="L1" s="64" t="s">
        <v>18</v>
      </c>
      <c r="M1" s="64" t="s">
        <v>36</v>
      </c>
      <c r="N1" s="64" t="s">
        <v>37</v>
      </c>
      <c r="O1" s="64" t="s">
        <v>38</v>
      </c>
      <c r="P1" s="65" t="s">
        <v>70</v>
      </c>
      <c r="Q1" s="65" t="s">
        <v>71</v>
      </c>
    </row>
    <row r="2" spans="1:17" x14ac:dyDescent="0.3">
      <c r="A2" s="53" t="str">
        <f>IF(IF(E2&lt;&gt;"",C2&amp;"_"&amp;D2&amp;"_"&amp;E2&amp;"_"&amp;F2,C2&amp;"_"&amp;D2&amp;"_"&amp;F2)&lt;&gt;"__",IF(E2&lt;&gt;"",C2&amp;"_"&amp;D2&amp;"_"&amp;E2&amp;"_"&amp;F2,C2&amp;"_"&amp;D2&amp;"_"&amp;F2),"")</f>
        <v>通识教育课程平台_思政类_1</v>
      </c>
      <c r="B2" s="54">
        <f>IFERROR(VLOOKUP(A2,'课程设置与教学进程表（附件2）'!U:V,2,0),"")</f>
        <v>1</v>
      </c>
      <c r="C2" s="59" t="s">
        <v>41</v>
      </c>
      <c r="D2" s="59" t="s">
        <v>46</v>
      </c>
      <c r="E2" s="59"/>
      <c r="F2" s="60">
        <v>1</v>
      </c>
      <c r="G2" s="59" t="s">
        <v>72</v>
      </c>
      <c r="H2" s="59" t="s">
        <v>73</v>
      </c>
      <c r="I2" s="59" t="s">
        <v>74</v>
      </c>
      <c r="J2" s="60" t="s">
        <v>47</v>
      </c>
      <c r="K2" s="60"/>
      <c r="L2" s="60">
        <v>3</v>
      </c>
      <c r="M2" s="60">
        <v>48</v>
      </c>
      <c r="N2" s="60">
        <v>48</v>
      </c>
      <c r="O2" s="60"/>
      <c r="P2" s="56">
        <v>2</v>
      </c>
      <c r="Q2" s="54">
        <v>3</v>
      </c>
    </row>
    <row r="3" spans="1:17" x14ac:dyDescent="0.3">
      <c r="A3" s="53" t="str">
        <f>IF(IF(E3&lt;&gt;"",C3&amp;"_"&amp;D3&amp;"_"&amp;E3&amp;"_"&amp;F3,C3&amp;"_"&amp;D3&amp;"_"&amp;F3)&lt;&gt;"__",IF(E3&lt;&gt;"",C3&amp;"_"&amp;D3&amp;"_"&amp;E3&amp;"_"&amp;F3,C3&amp;"_"&amp;D3&amp;"_"&amp;F3),"")</f>
        <v>通识教育课程平台_思政类_2</v>
      </c>
      <c r="B3" s="54">
        <f>IFERROR(VLOOKUP(A3,'课程设置与教学进程表（附件2）'!U:V,2,0),"")</f>
        <v>2</v>
      </c>
      <c r="C3" s="59" t="s">
        <v>41</v>
      </c>
      <c r="D3" s="59" t="s">
        <v>46</v>
      </c>
      <c r="E3" s="59"/>
      <c r="F3" s="60">
        <v>2</v>
      </c>
      <c r="G3" s="59" t="s">
        <v>75</v>
      </c>
      <c r="H3" s="59" t="s">
        <v>76</v>
      </c>
      <c r="I3" s="59" t="s">
        <v>77</v>
      </c>
      <c r="J3" s="60" t="s">
        <v>47</v>
      </c>
      <c r="K3" s="60"/>
      <c r="L3" s="60">
        <v>2</v>
      </c>
      <c r="M3" s="60">
        <v>32</v>
      </c>
      <c r="N3" s="60">
        <v>32</v>
      </c>
      <c r="O3" s="60"/>
      <c r="P3" s="56">
        <v>1</v>
      </c>
      <c r="Q3" s="54">
        <v>2</v>
      </c>
    </row>
    <row r="4" spans="1:17" x14ac:dyDescent="0.3">
      <c r="A4" s="53" t="str">
        <f t="shared" ref="A4:A65" si="0">IF(IF(E4&lt;&gt;"",C4&amp;"_"&amp;D4&amp;"_"&amp;E4&amp;"_"&amp;F4,C4&amp;"_"&amp;D4&amp;"_"&amp;F4)&lt;&gt;"__",IF(E4&lt;&gt;"",C4&amp;"_"&amp;D4&amp;"_"&amp;E4&amp;"_"&amp;F4,C4&amp;"_"&amp;D4&amp;"_"&amp;F4),"")</f>
        <v>通识教育课程平台_思政类_3</v>
      </c>
      <c r="B4" s="54">
        <f>IFERROR(VLOOKUP(A4,'课程设置与教学进程表（附件2）'!U:V,2,0),"")</f>
        <v>3</v>
      </c>
      <c r="C4" s="59" t="s">
        <v>41</v>
      </c>
      <c r="D4" s="59" t="s">
        <v>46</v>
      </c>
      <c r="E4" s="59"/>
      <c r="F4" s="60">
        <v>3</v>
      </c>
      <c r="G4" s="59" t="s">
        <v>75</v>
      </c>
      <c r="H4" s="59" t="s">
        <v>78</v>
      </c>
      <c r="I4" s="59" t="s">
        <v>79</v>
      </c>
      <c r="J4" s="60" t="s">
        <v>47</v>
      </c>
      <c r="K4" s="60"/>
      <c r="L4" s="60">
        <v>1</v>
      </c>
      <c r="M4" s="60">
        <v>20</v>
      </c>
      <c r="N4" s="60"/>
      <c r="O4" s="60">
        <v>20</v>
      </c>
      <c r="P4" s="56">
        <v>1</v>
      </c>
      <c r="Q4" s="96" t="s">
        <v>80</v>
      </c>
    </row>
    <row r="5" spans="1:17" x14ac:dyDescent="0.3">
      <c r="A5" s="53" t="str">
        <f t="shared" si="0"/>
        <v>通识教育课程平台_思政类_4</v>
      </c>
      <c r="B5" s="54">
        <f>IFERROR(VLOOKUP(A5,'课程设置与教学进程表（附件2）'!U:V,2,0),"")</f>
        <v>4</v>
      </c>
      <c r="C5" s="59" t="s">
        <v>41</v>
      </c>
      <c r="D5" s="59" t="s">
        <v>46</v>
      </c>
      <c r="E5" s="59"/>
      <c r="F5" s="60">
        <v>4</v>
      </c>
      <c r="G5" s="59" t="s">
        <v>81</v>
      </c>
      <c r="H5" s="59" t="s">
        <v>82</v>
      </c>
      <c r="I5" s="59" t="s">
        <v>83</v>
      </c>
      <c r="J5" s="60" t="s">
        <v>47</v>
      </c>
      <c r="K5" s="60"/>
      <c r="L5" s="60">
        <v>3</v>
      </c>
      <c r="M5" s="60">
        <v>48</v>
      </c>
      <c r="N5" s="60">
        <v>48</v>
      </c>
      <c r="O5" s="60"/>
      <c r="P5" s="56">
        <v>4</v>
      </c>
      <c r="Q5" s="54">
        <v>3</v>
      </c>
    </row>
    <row r="6" spans="1:17" x14ac:dyDescent="0.3">
      <c r="A6" s="53" t="str">
        <f t="shared" si="0"/>
        <v>通识教育课程平台_思政类_5</v>
      </c>
      <c r="B6" s="54">
        <f>IFERROR(VLOOKUP(A6,'课程设置与教学进程表（附件2）'!U:V,2,0),"")</f>
        <v>5</v>
      </c>
      <c r="C6" s="59" t="s">
        <v>41</v>
      </c>
      <c r="D6" s="59" t="s">
        <v>46</v>
      </c>
      <c r="E6" s="59"/>
      <c r="F6" s="60">
        <v>5</v>
      </c>
      <c r="G6" s="59" t="s">
        <v>84</v>
      </c>
      <c r="H6" s="59" t="s">
        <v>85</v>
      </c>
      <c r="I6" s="59" t="s">
        <v>86</v>
      </c>
      <c r="J6" s="60" t="s">
        <v>47</v>
      </c>
      <c r="K6" s="60"/>
      <c r="L6" s="60">
        <v>4</v>
      </c>
      <c r="M6" s="60">
        <v>64</v>
      </c>
      <c r="N6" s="60">
        <v>64</v>
      </c>
      <c r="O6" s="60"/>
      <c r="P6" s="56">
        <v>3</v>
      </c>
      <c r="Q6" s="54">
        <v>4</v>
      </c>
    </row>
    <row r="7" spans="1:17" x14ac:dyDescent="0.3">
      <c r="A7" s="53" t="str">
        <f t="shared" si="0"/>
        <v>通识教育课程平台_思政类_6</v>
      </c>
      <c r="B7" s="54">
        <f>IFERROR(VLOOKUP(A7,'课程设置与教学进程表（附件2）'!U:V,2,0),"")</f>
        <v>6</v>
      </c>
      <c r="C7" s="59" t="s">
        <v>41</v>
      </c>
      <c r="D7" s="59" t="s">
        <v>46</v>
      </c>
      <c r="E7" s="59"/>
      <c r="F7" s="60">
        <v>6</v>
      </c>
      <c r="G7" s="59" t="s">
        <v>84</v>
      </c>
      <c r="H7" s="59" t="s">
        <v>87</v>
      </c>
      <c r="I7" s="59" t="s">
        <v>88</v>
      </c>
      <c r="J7" s="60" t="s">
        <v>47</v>
      </c>
      <c r="K7" s="60"/>
      <c r="L7" s="60">
        <v>1</v>
      </c>
      <c r="M7" s="60">
        <v>20</v>
      </c>
      <c r="N7" s="60"/>
      <c r="O7" s="60">
        <v>20</v>
      </c>
      <c r="P7" s="56">
        <v>3</v>
      </c>
      <c r="Q7" s="96" t="s">
        <v>80</v>
      </c>
    </row>
    <row r="8" spans="1:17" x14ac:dyDescent="0.3">
      <c r="A8" s="53" t="str">
        <f t="shared" si="0"/>
        <v>通识教育课程平台_思政类_7</v>
      </c>
      <c r="B8" s="54">
        <f>IFERROR(VLOOKUP(A8,'课程设置与教学进程表（附件2）'!U:V,2,0),"")</f>
        <v>7</v>
      </c>
      <c r="C8" s="59" t="s">
        <v>41</v>
      </c>
      <c r="D8" s="59" t="s">
        <v>46</v>
      </c>
      <c r="E8" s="59"/>
      <c r="F8" s="60">
        <v>7</v>
      </c>
      <c r="G8" s="59" t="s">
        <v>89</v>
      </c>
      <c r="H8" s="59" t="s">
        <v>90</v>
      </c>
      <c r="I8" s="59" t="s">
        <v>91</v>
      </c>
      <c r="J8" s="60" t="s">
        <v>47</v>
      </c>
      <c r="K8" s="60"/>
      <c r="L8" s="60">
        <v>0.25</v>
      </c>
      <c r="M8" s="60">
        <v>4</v>
      </c>
      <c r="N8" s="60">
        <v>4</v>
      </c>
      <c r="O8" s="60"/>
      <c r="P8" s="54">
        <v>1</v>
      </c>
      <c r="Q8" s="54">
        <v>2</v>
      </c>
    </row>
    <row r="9" spans="1:17" x14ac:dyDescent="0.3">
      <c r="A9" s="53" t="str">
        <f t="shared" si="0"/>
        <v>通识教育课程平台_思政类_8</v>
      </c>
      <c r="B9" s="54">
        <f>IFERROR(VLOOKUP(A9,'课程设置与教学进程表（附件2）'!U:V,2,0),"")</f>
        <v>8</v>
      </c>
      <c r="C9" s="59" t="s">
        <v>41</v>
      </c>
      <c r="D9" s="59" t="s">
        <v>46</v>
      </c>
      <c r="E9" s="59"/>
      <c r="F9" s="60">
        <v>8</v>
      </c>
      <c r="G9" s="59" t="s">
        <v>92</v>
      </c>
      <c r="H9" s="59" t="s">
        <v>93</v>
      </c>
      <c r="I9" s="59" t="s">
        <v>94</v>
      </c>
      <c r="J9" s="60" t="s">
        <v>47</v>
      </c>
      <c r="K9" s="60"/>
      <c r="L9" s="60">
        <v>0.25</v>
      </c>
      <c r="M9" s="60">
        <v>4</v>
      </c>
      <c r="N9" s="60">
        <v>4</v>
      </c>
      <c r="O9" s="60"/>
      <c r="P9" s="54">
        <v>2</v>
      </c>
      <c r="Q9" s="54">
        <v>2</v>
      </c>
    </row>
    <row r="10" spans="1:17" x14ac:dyDescent="0.3">
      <c r="A10" s="53" t="str">
        <f t="shared" si="0"/>
        <v>通识教育课程平台_思政类_9</v>
      </c>
      <c r="B10" s="54">
        <f>IFERROR(VLOOKUP(A10,'课程设置与教学进程表（附件2）'!U:V,2,0),"")</f>
        <v>9</v>
      </c>
      <c r="C10" s="59" t="s">
        <v>41</v>
      </c>
      <c r="D10" s="59" t="s">
        <v>46</v>
      </c>
      <c r="E10" s="59"/>
      <c r="F10" s="60">
        <v>9</v>
      </c>
      <c r="G10" s="59" t="s">
        <v>95</v>
      </c>
      <c r="H10" s="59" t="s">
        <v>96</v>
      </c>
      <c r="I10" s="59" t="s">
        <v>97</v>
      </c>
      <c r="J10" s="60" t="s">
        <v>47</v>
      </c>
      <c r="K10" s="60"/>
      <c r="L10" s="60">
        <v>0.25</v>
      </c>
      <c r="M10" s="60">
        <v>4</v>
      </c>
      <c r="N10" s="60">
        <v>4</v>
      </c>
      <c r="O10" s="60"/>
      <c r="P10" s="54">
        <v>3</v>
      </c>
      <c r="Q10" s="54">
        <v>2</v>
      </c>
    </row>
    <row r="11" spans="1:17" x14ac:dyDescent="0.3">
      <c r="A11" s="53" t="str">
        <f t="shared" si="0"/>
        <v>通识教育课程平台_思政类_10</v>
      </c>
      <c r="B11" s="54">
        <f>IFERROR(VLOOKUP(A11,'课程设置与教学进程表（附件2）'!U:V,2,0),"")</f>
        <v>10</v>
      </c>
      <c r="C11" s="59" t="s">
        <v>41</v>
      </c>
      <c r="D11" s="59" t="s">
        <v>46</v>
      </c>
      <c r="E11" s="59"/>
      <c r="F11" s="60">
        <v>10</v>
      </c>
      <c r="G11" s="59" t="s">
        <v>98</v>
      </c>
      <c r="H11" s="59" t="s">
        <v>99</v>
      </c>
      <c r="I11" s="59" t="s">
        <v>100</v>
      </c>
      <c r="J11" s="60" t="s">
        <v>47</v>
      </c>
      <c r="K11" s="60"/>
      <c r="L11" s="60">
        <v>0.25</v>
      </c>
      <c r="M11" s="60">
        <v>4</v>
      </c>
      <c r="N11" s="60">
        <v>4</v>
      </c>
      <c r="O11" s="60"/>
      <c r="P11" s="54">
        <v>4</v>
      </c>
      <c r="Q11" s="54">
        <v>2</v>
      </c>
    </row>
    <row r="12" spans="1:17" x14ac:dyDescent="0.3">
      <c r="A12" s="53" t="str">
        <f t="shared" si="0"/>
        <v>通识教育课程平台_思政类_11</v>
      </c>
      <c r="B12" s="54">
        <f>IFERROR(VLOOKUP(A12,'课程设置与教学进程表（附件2）'!U:V,2,0),"")</f>
        <v>11</v>
      </c>
      <c r="C12" s="59" t="s">
        <v>41</v>
      </c>
      <c r="D12" s="59" t="s">
        <v>46</v>
      </c>
      <c r="E12" s="59"/>
      <c r="F12" s="60">
        <v>11</v>
      </c>
      <c r="G12" s="59" t="s">
        <v>101</v>
      </c>
      <c r="H12" s="59" t="s">
        <v>102</v>
      </c>
      <c r="I12" s="59" t="s">
        <v>103</v>
      </c>
      <c r="J12" s="60" t="s">
        <v>47</v>
      </c>
      <c r="K12" s="60"/>
      <c r="L12" s="60">
        <v>0.25</v>
      </c>
      <c r="M12" s="60">
        <v>4</v>
      </c>
      <c r="N12" s="60">
        <v>4</v>
      </c>
      <c r="O12" s="60"/>
      <c r="P12" s="54">
        <v>5</v>
      </c>
      <c r="Q12" s="54">
        <v>2</v>
      </c>
    </row>
    <row r="13" spans="1:17" x14ac:dyDescent="0.3">
      <c r="A13" s="53" t="str">
        <f t="shared" si="0"/>
        <v>通识教育课程平台_思政类_12</v>
      </c>
      <c r="B13" s="54">
        <f>IFERROR(VLOOKUP(A13,'课程设置与教学进程表（附件2）'!U:V,2,0),"")</f>
        <v>12</v>
      </c>
      <c r="C13" s="59" t="s">
        <v>41</v>
      </c>
      <c r="D13" s="59" t="s">
        <v>46</v>
      </c>
      <c r="E13" s="59"/>
      <c r="F13" s="60">
        <v>12</v>
      </c>
      <c r="G13" s="59" t="s">
        <v>104</v>
      </c>
      <c r="H13" s="59" t="s">
        <v>105</v>
      </c>
      <c r="I13" s="59" t="s">
        <v>106</v>
      </c>
      <c r="J13" s="60" t="s">
        <v>47</v>
      </c>
      <c r="K13" s="60"/>
      <c r="L13" s="60">
        <v>0.25</v>
      </c>
      <c r="M13" s="60">
        <v>4</v>
      </c>
      <c r="N13" s="60">
        <v>4</v>
      </c>
      <c r="O13" s="60"/>
      <c r="P13" s="54">
        <v>6</v>
      </c>
      <c r="Q13" s="54">
        <v>2</v>
      </c>
    </row>
    <row r="14" spans="1:17" x14ac:dyDescent="0.3">
      <c r="A14" s="53" t="str">
        <f t="shared" si="0"/>
        <v>通识教育课程平台_思政类_13</v>
      </c>
      <c r="B14" s="54">
        <f>IFERROR(VLOOKUP(A14,'课程设置与教学进程表（附件2）'!U:V,2,0),"")</f>
        <v>13</v>
      </c>
      <c r="C14" s="59" t="s">
        <v>41</v>
      </c>
      <c r="D14" s="59" t="s">
        <v>46</v>
      </c>
      <c r="E14" s="59"/>
      <c r="F14" s="60">
        <v>13</v>
      </c>
      <c r="G14" s="59" t="s">
        <v>107</v>
      </c>
      <c r="H14" s="59" t="s">
        <v>108</v>
      </c>
      <c r="I14" s="59" t="s">
        <v>109</v>
      </c>
      <c r="J14" s="60" t="s">
        <v>47</v>
      </c>
      <c r="K14" s="60"/>
      <c r="L14" s="60">
        <v>0.25</v>
      </c>
      <c r="M14" s="60">
        <v>4</v>
      </c>
      <c r="N14" s="60">
        <v>4</v>
      </c>
      <c r="O14" s="60"/>
      <c r="P14" s="54">
        <v>7</v>
      </c>
      <c r="Q14" s="54">
        <v>2</v>
      </c>
    </row>
    <row r="15" spans="1:17" x14ac:dyDescent="0.3">
      <c r="A15" s="53" t="str">
        <f t="shared" si="0"/>
        <v>通识教育课程平台_思政类_14</v>
      </c>
      <c r="B15" s="54">
        <f>IFERROR(VLOOKUP(A15,'课程设置与教学进程表（附件2）'!U:V,2,0),"")</f>
        <v>14</v>
      </c>
      <c r="C15" s="59" t="s">
        <v>41</v>
      </c>
      <c r="D15" s="59" t="s">
        <v>46</v>
      </c>
      <c r="E15" s="59"/>
      <c r="F15" s="60">
        <v>14</v>
      </c>
      <c r="G15" s="59" t="s">
        <v>110</v>
      </c>
      <c r="H15" s="59" t="s">
        <v>111</v>
      </c>
      <c r="I15" s="59" t="s">
        <v>112</v>
      </c>
      <c r="J15" s="60" t="s">
        <v>47</v>
      </c>
      <c r="K15" s="60"/>
      <c r="L15" s="60">
        <v>0.25</v>
      </c>
      <c r="M15" s="60">
        <v>4</v>
      </c>
      <c r="N15" s="60">
        <v>4</v>
      </c>
      <c r="O15" s="60"/>
      <c r="P15" s="54">
        <v>8</v>
      </c>
      <c r="Q15" s="54">
        <v>2</v>
      </c>
    </row>
    <row r="16" spans="1:17" x14ac:dyDescent="0.3">
      <c r="A16" s="53" t="str">
        <f t="shared" si="0"/>
        <v>通识教育课程平台_思政类_15</v>
      </c>
      <c r="B16" s="54">
        <f>IFERROR(VLOOKUP(A16,'课程设置与教学进程表（附件2）'!U:V,2,0),"")</f>
        <v>15</v>
      </c>
      <c r="C16" s="59" t="s">
        <v>41</v>
      </c>
      <c r="D16" s="59" t="s">
        <v>46</v>
      </c>
      <c r="E16" s="59"/>
      <c r="F16" s="60">
        <v>15</v>
      </c>
      <c r="G16" s="59" t="s">
        <v>113</v>
      </c>
      <c r="H16" s="59" t="s">
        <v>114</v>
      </c>
      <c r="I16" s="59" t="s">
        <v>115</v>
      </c>
      <c r="J16" s="60" t="s">
        <v>53</v>
      </c>
      <c r="K16" s="60"/>
      <c r="L16" s="60">
        <v>1</v>
      </c>
      <c r="M16" s="60">
        <v>16</v>
      </c>
      <c r="N16" s="60">
        <v>16</v>
      </c>
      <c r="O16" s="60"/>
      <c r="P16" s="54"/>
      <c r="Q16" s="54">
        <v>1</v>
      </c>
    </row>
    <row r="17" spans="1:17" x14ac:dyDescent="0.3">
      <c r="A17" s="53" t="str">
        <f t="shared" si="0"/>
        <v>通识教育课程平台_外语类_1</v>
      </c>
      <c r="B17" s="54">
        <f>IFERROR(VLOOKUP(A17,'课程设置与教学进程表（附件2）'!U:V,2,0),"")</f>
        <v>16</v>
      </c>
      <c r="C17" s="59" t="s">
        <v>41</v>
      </c>
      <c r="D17" s="59" t="s">
        <v>49</v>
      </c>
      <c r="E17" s="59"/>
      <c r="F17" s="60">
        <v>1</v>
      </c>
      <c r="G17" s="59" t="s">
        <v>116</v>
      </c>
      <c r="H17" s="59" t="s">
        <v>117</v>
      </c>
      <c r="I17" s="59" t="s">
        <v>118</v>
      </c>
      <c r="J17" s="60" t="s">
        <v>47</v>
      </c>
      <c r="K17" s="60"/>
      <c r="L17" s="60">
        <v>2</v>
      </c>
      <c r="M17" s="60">
        <v>32</v>
      </c>
      <c r="N17" s="60">
        <v>32</v>
      </c>
      <c r="O17" s="60"/>
      <c r="P17" s="54">
        <v>1</v>
      </c>
      <c r="Q17" s="54">
        <v>2</v>
      </c>
    </row>
    <row r="18" spans="1:17" x14ac:dyDescent="0.3">
      <c r="A18" s="53" t="str">
        <f t="shared" si="0"/>
        <v>通识教育课程平台_外语类_2</v>
      </c>
      <c r="B18" s="54">
        <f>IFERROR(VLOOKUP(A18,'课程设置与教学进程表（附件2）'!U:V,2,0),"")</f>
        <v>17</v>
      </c>
      <c r="C18" s="59" t="s">
        <v>41</v>
      </c>
      <c r="D18" s="59" t="s">
        <v>49</v>
      </c>
      <c r="E18" s="59"/>
      <c r="F18" s="60">
        <v>2</v>
      </c>
      <c r="G18" s="59" t="s">
        <v>119</v>
      </c>
      <c r="H18" s="59" t="s">
        <v>120</v>
      </c>
      <c r="I18" s="59" t="s">
        <v>121</v>
      </c>
      <c r="J18" s="60" t="s">
        <v>47</v>
      </c>
      <c r="K18" s="60"/>
      <c r="L18" s="60">
        <v>2</v>
      </c>
      <c r="M18" s="60">
        <v>32</v>
      </c>
      <c r="N18" s="60">
        <v>32</v>
      </c>
      <c r="O18" s="60"/>
      <c r="P18" s="54">
        <v>1</v>
      </c>
      <c r="Q18" s="54">
        <v>2</v>
      </c>
    </row>
    <row r="19" spans="1:17" x14ac:dyDescent="0.3">
      <c r="A19" s="53" t="str">
        <f t="shared" si="0"/>
        <v>通识教育课程平台_外语类_3</v>
      </c>
      <c r="B19" s="54">
        <f>IFERROR(VLOOKUP(A19,'课程设置与教学进程表（附件2）'!U:V,2,0),"")</f>
        <v>18</v>
      </c>
      <c r="C19" s="59" t="s">
        <v>41</v>
      </c>
      <c r="D19" s="59" t="s">
        <v>49</v>
      </c>
      <c r="E19" s="59"/>
      <c r="F19" s="60">
        <v>3</v>
      </c>
      <c r="G19" s="59" t="s">
        <v>122</v>
      </c>
      <c r="H19" s="59" t="s">
        <v>123</v>
      </c>
      <c r="I19" s="59" t="s">
        <v>124</v>
      </c>
      <c r="J19" s="60" t="s">
        <v>47</v>
      </c>
      <c r="K19" s="60"/>
      <c r="L19" s="60">
        <v>2</v>
      </c>
      <c r="M19" s="60">
        <v>32</v>
      </c>
      <c r="N19" s="60">
        <v>32</v>
      </c>
      <c r="O19" s="60"/>
      <c r="P19" s="54">
        <v>2</v>
      </c>
      <c r="Q19" s="54">
        <v>2</v>
      </c>
    </row>
    <row r="20" spans="1:17" x14ac:dyDescent="0.3">
      <c r="A20" s="53" t="str">
        <f t="shared" si="0"/>
        <v>通识教育课程平台_外语类_4</v>
      </c>
      <c r="B20" s="54">
        <f>IFERROR(VLOOKUP(A20,'课程设置与教学进程表（附件2）'!U:V,2,0),"")</f>
        <v>19</v>
      </c>
      <c r="C20" s="59" t="s">
        <v>41</v>
      </c>
      <c r="D20" s="59" t="s">
        <v>49</v>
      </c>
      <c r="E20" s="59"/>
      <c r="F20" s="60">
        <v>4</v>
      </c>
      <c r="G20" s="59" t="s">
        <v>125</v>
      </c>
      <c r="H20" s="59" t="s">
        <v>126</v>
      </c>
      <c r="I20" s="59" t="s">
        <v>127</v>
      </c>
      <c r="J20" s="60" t="s">
        <v>47</v>
      </c>
      <c r="K20" s="60"/>
      <c r="L20" s="60">
        <v>2</v>
      </c>
      <c r="M20" s="60">
        <v>32</v>
      </c>
      <c r="N20" s="60">
        <v>32</v>
      </c>
      <c r="O20" s="60"/>
      <c r="P20" s="54">
        <v>2</v>
      </c>
      <c r="Q20" s="54">
        <v>2</v>
      </c>
    </row>
    <row r="21" spans="1:17" x14ac:dyDescent="0.3">
      <c r="A21" s="53" t="str">
        <f t="shared" si="0"/>
        <v>通识教育课程平台_外语类_5</v>
      </c>
      <c r="B21" s="54">
        <f>IFERROR(VLOOKUP(A21,'课程设置与教学进程表（附件2）'!U:V,2,0),"")</f>
        <v>20</v>
      </c>
      <c r="C21" s="59" t="s">
        <v>41</v>
      </c>
      <c r="D21" s="59" t="s">
        <v>49</v>
      </c>
      <c r="E21" s="59"/>
      <c r="F21" s="60">
        <v>5</v>
      </c>
      <c r="G21" s="59" t="s">
        <v>128</v>
      </c>
      <c r="H21" s="59" t="s">
        <v>129</v>
      </c>
      <c r="I21" s="59" t="s">
        <v>130</v>
      </c>
      <c r="J21" s="60" t="s">
        <v>53</v>
      </c>
      <c r="K21" s="60"/>
      <c r="L21" s="60">
        <v>2</v>
      </c>
      <c r="M21" s="60">
        <v>32</v>
      </c>
      <c r="N21" s="60">
        <v>32</v>
      </c>
      <c r="O21" s="60"/>
      <c r="P21" s="54"/>
      <c r="Q21" s="54">
        <v>2</v>
      </c>
    </row>
    <row r="22" spans="1:17" x14ac:dyDescent="0.3">
      <c r="A22" s="53" t="str">
        <f t="shared" si="0"/>
        <v>通识教育课程平台_军体类_1</v>
      </c>
      <c r="B22" s="54">
        <f>IFERROR(VLOOKUP(A22,'课程设置与教学进程表（附件2）'!U:V,2,0),"")</f>
        <v>21</v>
      </c>
      <c r="C22" s="59" t="s">
        <v>41</v>
      </c>
      <c r="D22" s="59" t="s">
        <v>52</v>
      </c>
      <c r="E22" s="59"/>
      <c r="F22" s="60">
        <v>1</v>
      </c>
      <c r="G22" s="59" t="s">
        <v>131</v>
      </c>
      <c r="H22" s="59" t="s">
        <v>132</v>
      </c>
      <c r="I22" s="59" t="s">
        <v>133</v>
      </c>
      <c r="J22" s="60" t="s">
        <v>47</v>
      </c>
      <c r="K22" s="60"/>
      <c r="L22" s="60">
        <v>1</v>
      </c>
      <c r="M22" s="60">
        <v>32</v>
      </c>
      <c r="N22" s="60">
        <v>32</v>
      </c>
      <c r="O22" s="60"/>
      <c r="P22" s="54">
        <v>1</v>
      </c>
      <c r="Q22" s="54">
        <v>2</v>
      </c>
    </row>
    <row r="23" spans="1:17" x14ac:dyDescent="0.3">
      <c r="A23" s="53" t="str">
        <f t="shared" si="0"/>
        <v>通识教育课程平台_军体类_2</v>
      </c>
      <c r="B23" s="54">
        <f>IFERROR(VLOOKUP(A23,'课程设置与教学进程表（附件2）'!U:V,2,0),"")</f>
        <v>22</v>
      </c>
      <c r="C23" s="59" t="s">
        <v>41</v>
      </c>
      <c r="D23" s="59" t="s">
        <v>52</v>
      </c>
      <c r="E23" s="59"/>
      <c r="F23" s="60">
        <v>2</v>
      </c>
      <c r="G23" s="59" t="s">
        <v>131</v>
      </c>
      <c r="H23" s="59" t="s">
        <v>134</v>
      </c>
      <c r="I23" s="59" t="s">
        <v>135</v>
      </c>
      <c r="J23" s="60" t="s">
        <v>47</v>
      </c>
      <c r="K23" s="60"/>
      <c r="L23" s="60">
        <v>1</v>
      </c>
      <c r="M23" s="60">
        <v>32</v>
      </c>
      <c r="N23" s="60">
        <v>32</v>
      </c>
      <c r="O23" s="60"/>
      <c r="P23" s="54">
        <v>2</v>
      </c>
      <c r="Q23" s="54">
        <v>2</v>
      </c>
    </row>
    <row r="24" spans="1:17" x14ac:dyDescent="0.3">
      <c r="A24" s="53" t="str">
        <f t="shared" si="0"/>
        <v>通识教育课程平台_军体类_3</v>
      </c>
      <c r="B24" s="54">
        <f>IFERROR(VLOOKUP(A24,'课程设置与教学进程表（附件2）'!U:V,2,0),"")</f>
        <v>23</v>
      </c>
      <c r="C24" s="59" t="s">
        <v>41</v>
      </c>
      <c r="D24" s="59" t="s">
        <v>52</v>
      </c>
      <c r="E24" s="59"/>
      <c r="F24" s="60">
        <v>3</v>
      </c>
      <c r="G24" s="59" t="s">
        <v>131</v>
      </c>
      <c r="H24" s="59" t="s">
        <v>136</v>
      </c>
      <c r="I24" s="59" t="s">
        <v>137</v>
      </c>
      <c r="J24" s="60" t="s">
        <v>47</v>
      </c>
      <c r="K24" s="60"/>
      <c r="L24" s="60">
        <v>1</v>
      </c>
      <c r="M24" s="60">
        <v>32</v>
      </c>
      <c r="N24" s="60">
        <v>32</v>
      </c>
      <c r="O24" s="60"/>
      <c r="P24" s="54">
        <v>3</v>
      </c>
      <c r="Q24" s="54">
        <v>2</v>
      </c>
    </row>
    <row r="25" spans="1:17" x14ac:dyDescent="0.3">
      <c r="A25" s="53" t="str">
        <f t="shared" si="0"/>
        <v>通识教育课程平台_军体类_4</v>
      </c>
      <c r="B25" s="54">
        <f>IFERROR(VLOOKUP(A25,'课程设置与教学进程表（附件2）'!U:V,2,0),"")</f>
        <v>24</v>
      </c>
      <c r="C25" s="59" t="s">
        <v>41</v>
      </c>
      <c r="D25" s="59" t="s">
        <v>52</v>
      </c>
      <c r="E25" s="59"/>
      <c r="F25" s="60">
        <v>4</v>
      </c>
      <c r="G25" s="59" t="s">
        <v>131</v>
      </c>
      <c r="H25" s="59" t="s">
        <v>138</v>
      </c>
      <c r="I25" s="59" t="s">
        <v>139</v>
      </c>
      <c r="J25" s="60" t="s">
        <v>47</v>
      </c>
      <c r="K25" s="60"/>
      <c r="L25" s="60">
        <v>1</v>
      </c>
      <c r="M25" s="60">
        <v>32</v>
      </c>
      <c r="N25" s="60">
        <v>32</v>
      </c>
      <c r="O25" s="60"/>
      <c r="P25" s="54">
        <v>4</v>
      </c>
      <c r="Q25" s="54">
        <v>2</v>
      </c>
    </row>
    <row r="26" spans="1:17" x14ac:dyDescent="0.3">
      <c r="A26" s="53" t="str">
        <f t="shared" si="0"/>
        <v>通识教育课程平台_军体类_5</v>
      </c>
      <c r="B26" s="54">
        <f>IFERROR(VLOOKUP(A26,'课程设置与教学进程表（附件2）'!U:V,2,0),"")</f>
        <v>25</v>
      </c>
      <c r="C26" s="59" t="s">
        <v>41</v>
      </c>
      <c r="D26" s="59" t="s">
        <v>52</v>
      </c>
      <c r="E26" s="59"/>
      <c r="F26" s="60">
        <v>5</v>
      </c>
      <c r="G26" s="59" t="s">
        <v>140</v>
      </c>
      <c r="H26" s="59" t="s">
        <v>141</v>
      </c>
      <c r="I26" s="59" t="s">
        <v>142</v>
      </c>
      <c r="J26" s="60" t="s">
        <v>47</v>
      </c>
      <c r="K26" s="60"/>
      <c r="L26" s="60">
        <v>2</v>
      </c>
      <c r="M26" s="60">
        <v>32</v>
      </c>
      <c r="N26" s="60">
        <v>32</v>
      </c>
      <c r="O26" s="60"/>
      <c r="P26" s="54">
        <v>1</v>
      </c>
      <c r="Q26" s="54">
        <v>2</v>
      </c>
    </row>
    <row r="27" spans="1:17" x14ac:dyDescent="0.3">
      <c r="A27" s="53" t="str">
        <f t="shared" si="0"/>
        <v>通识教育课程平台_军体类_6</v>
      </c>
      <c r="B27" s="54">
        <f>IFERROR(VLOOKUP(A27,'课程设置与教学进程表（附件2）'!U:V,2,0),"")</f>
        <v>26</v>
      </c>
      <c r="C27" s="59" t="s">
        <v>41</v>
      </c>
      <c r="D27" s="59" t="s">
        <v>52</v>
      </c>
      <c r="E27" s="59"/>
      <c r="F27" s="60">
        <v>6</v>
      </c>
      <c r="G27" s="59" t="s">
        <v>143</v>
      </c>
      <c r="H27" s="59" t="s">
        <v>144</v>
      </c>
      <c r="I27" s="59" t="s">
        <v>145</v>
      </c>
      <c r="J27" s="60" t="s">
        <v>47</v>
      </c>
      <c r="K27" s="60"/>
      <c r="L27" s="60">
        <v>2</v>
      </c>
      <c r="M27" s="60">
        <v>40</v>
      </c>
      <c r="N27" s="60"/>
      <c r="O27" s="60">
        <v>40</v>
      </c>
      <c r="P27" s="54">
        <v>1</v>
      </c>
      <c r="Q27" s="96" t="s">
        <v>146</v>
      </c>
    </row>
    <row r="28" spans="1:17" x14ac:dyDescent="0.3">
      <c r="A28" s="53" t="str">
        <f t="shared" si="0"/>
        <v>通识教育课程平台_计算机类_1</v>
      </c>
      <c r="B28" s="54">
        <f>IFERROR(VLOOKUP(A28,'课程设置与教学进程表（附件2）'!U:V,2,0),"")</f>
        <v>27</v>
      </c>
      <c r="C28" s="59" t="s">
        <v>41</v>
      </c>
      <c r="D28" s="59" t="s">
        <v>54</v>
      </c>
      <c r="E28" s="59"/>
      <c r="F28" s="60">
        <v>1</v>
      </c>
      <c r="G28" s="59" t="s">
        <v>147</v>
      </c>
      <c r="H28" s="59" t="s">
        <v>148</v>
      </c>
      <c r="I28" s="59" t="s">
        <v>149</v>
      </c>
      <c r="J28" s="60" t="s">
        <v>47</v>
      </c>
      <c r="K28" s="60"/>
      <c r="L28" s="60">
        <v>1</v>
      </c>
      <c r="M28" s="60">
        <v>32</v>
      </c>
      <c r="N28" s="60"/>
      <c r="O28" s="60">
        <v>32</v>
      </c>
      <c r="P28" s="54">
        <v>1</v>
      </c>
      <c r="Q28" s="54">
        <v>2</v>
      </c>
    </row>
    <row r="29" spans="1:17" x14ac:dyDescent="0.3">
      <c r="A29" s="53" t="str">
        <f t="shared" si="0"/>
        <v>通识教育课程平台_创新创业类_1</v>
      </c>
      <c r="B29" s="54">
        <f>IFERROR(VLOOKUP(A29,'课程设置与教学进程表（附件2）'!U:V,2,0),"")</f>
        <v>28</v>
      </c>
      <c r="C29" s="59" t="s">
        <v>41</v>
      </c>
      <c r="D29" s="59" t="s">
        <v>55</v>
      </c>
      <c r="E29" s="59"/>
      <c r="F29" s="60">
        <v>1</v>
      </c>
      <c r="G29" s="61" t="s">
        <v>150</v>
      </c>
      <c r="H29" s="59" t="s">
        <v>151</v>
      </c>
      <c r="I29" s="59" t="s">
        <v>152</v>
      </c>
      <c r="J29" s="60" t="s">
        <v>47</v>
      </c>
      <c r="K29" s="60"/>
      <c r="L29" s="60">
        <v>1</v>
      </c>
      <c r="M29" s="60">
        <v>16</v>
      </c>
      <c r="N29" s="60">
        <v>16</v>
      </c>
      <c r="O29" s="60"/>
      <c r="P29" s="56">
        <v>4</v>
      </c>
      <c r="Q29" s="54">
        <v>1</v>
      </c>
    </row>
    <row r="30" spans="1:17" x14ac:dyDescent="0.3">
      <c r="A30" s="53" t="str">
        <f t="shared" si="0"/>
        <v>通识教育课程平台_创新创业类_2</v>
      </c>
      <c r="B30" s="54">
        <f>IFERROR(VLOOKUP(A30,'课程设置与教学进程表（附件2）'!U:V,2,0),"")</f>
        <v>29</v>
      </c>
      <c r="C30" s="59" t="s">
        <v>41</v>
      </c>
      <c r="D30" s="59" t="s">
        <v>55</v>
      </c>
      <c r="E30" s="59"/>
      <c r="F30" s="60">
        <v>2</v>
      </c>
      <c r="G30" s="59" t="s">
        <v>153</v>
      </c>
      <c r="H30" s="59" t="s">
        <v>154</v>
      </c>
      <c r="I30" s="59" t="s">
        <v>155</v>
      </c>
      <c r="J30" s="60" t="s">
        <v>47</v>
      </c>
      <c r="K30" s="60"/>
      <c r="L30" s="60">
        <v>1</v>
      </c>
      <c r="M30" s="60">
        <v>32</v>
      </c>
      <c r="N30" s="60"/>
      <c r="O30" s="60">
        <v>32</v>
      </c>
      <c r="P30" s="54"/>
      <c r="Q30" s="54">
        <v>2</v>
      </c>
    </row>
    <row r="31" spans="1:17" x14ac:dyDescent="0.3">
      <c r="A31" s="53" t="str">
        <f t="shared" si="0"/>
        <v>通识教育课程平台_劳动教育类_1</v>
      </c>
      <c r="B31" s="54">
        <f>IFERROR(VLOOKUP(A31,'课程设置与教学进程表（附件2）'!U:V,2,0),"")</f>
        <v>30</v>
      </c>
      <c r="C31" s="59" t="s">
        <v>41</v>
      </c>
      <c r="D31" s="59" t="s">
        <v>57</v>
      </c>
      <c r="E31" s="59"/>
      <c r="F31" s="60">
        <v>1</v>
      </c>
      <c r="G31" s="59" t="s">
        <v>156</v>
      </c>
      <c r="H31" s="59" t="s">
        <v>157</v>
      </c>
      <c r="I31" s="59" t="s">
        <v>158</v>
      </c>
      <c r="J31" s="60" t="s">
        <v>47</v>
      </c>
      <c r="K31" s="60"/>
      <c r="L31" s="60">
        <v>1</v>
      </c>
      <c r="M31" s="60">
        <v>16</v>
      </c>
      <c r="N31" s="60">
        <v>16</v>
      </c>
      <c r="O31" s="60"/>
      <c r="P31" s="56">
        <v>3</v>
      </c>
      <c r="Q31" s="54">
        <v>1</v>
      </c>
    </row>
    <row r="32" spans="1:17" x14ac:dyDescent="0.3">
      <c r="A32" s="53" t="str">
        <f t="shared" si="0"/>
        <v>通识教育课程平台_劳动教育类_2</v>
      </c>
      <c r="B32" s="54">
        <f>IFERROR(VLOOKUP(A32,'课程设置与教学进程表（附件2）'!U:V,2,0),"")</f>
        <v>31</v>
      </c>
      <c r="C32" s="59" t="s">
        <v>41</v>
      </c>
      <c r="D32" s="59" t="s">
        <v>57</v>
      </c>
      <c r="E32" s="59"/>
      <c r="F32" s="60">
        <v>2</v>
      </c>
      <c r="G32" s="59" t="s">
        <v>159</v>
      </c>
      <c r="H32" s="59" t="s">
        <v>160</v>
      </c>
      <c r="I32" s="59" t="s">
        <v>161</v>
      </c>
      <c r="J32" s="60" t="s">
        <v>47</v>
      </c>
      <c r="K32" s="60"/>
      <c r="L32" s="60">
        <v>1</v>
      </c>
      <c r="M32" s="60">
        <v>32</v>
      </c>
      <c r="N32" s="60"/>
      <c r="O32" s="60">
        <v>32</v>
      </c>
      <c r="P32" s="54"/>
      <c r="Q32" s="54">
        <v>2</v>
      </c>
    </row>
    <row r="33" spans="1:17" x14ac:dyDescent="0.3">
      <c r="A33" s="53" t="str">
        <f t="shared" si="0"/>
        <v>通识教育课程平台_美育类_1</v>
      </c>
      <c r="B33" s="54">
        <f>IFERROR(VLOOKUP(A33,'课程设置与教学进程表（附件2）'!U:V,2,0),"")</f>
        <v>32</v>
      </c>
      <c r="C33" s="59" t="s">
        <v>41</v>
      </c>
      <c r="D33" s="59" t="s">
        <v>58</v>
      </c>
      <c r="E33" s="59"/>
      <c r="F33" s="60">
        <v>1</v>
      </c>
      <c r="G33" s="59" t="s">
        <v>162</v>
      </c>
      <c r="H33" s="59" t="s">
        <v>163</v>
      </c>
      <c r="I33" s="59" t="s">
        <v>164</v>
      </c>
      <c r="J33" s="60" t="s">
        <v>53</v>
      </c>
      <c r="K33" s="60"/>
      <c r="L33" s="60">
        <v>2</v>
      </c>
      <c r="M33" s="60">
        <v>32</v>
      </c>
      <c r="N33" s="60">
        <v>32</v>
      </c>
      <c r="O33" s="60"/>
      <c r="P33" s="54"/>
      <c r="Q33" s="54">
        <v>2</v>
      </c>
    </row>
    <row r="34" spans="1:17" x14ac:dyDescent="0.3">
      <c r="A34" s="53" t="str">
        <f t="shared" si="0"/>
        <v>通识教育课程平台_其他类_1</v>
      </c>
      <c r="B34" s="54">
        <f>IFERROR(VLOOKUP(A34,'课程设置与教学进程表（附件2）'!U:V,2,0),"")</f>
        <v>33</v>
      </c>
      <c r="C34" s="59" t="s">
        <v>41</v>
      </c>
      <c r="D34" s="59" t="s">
        <v>59</v>
      </c>
      <c r="E34" s="59"/>
      <c r="F34" s="60">
        <v>1</v>
      </c>
      <c r="G34" s="59" t="s">
        <v>165</v>
      </c>
      <c r="H34" s="59" t="s">
        <v>166</v>
      </c>
      <c r="I34" s="59" t="s">
        <v>167</v>
      </c>
      <c r="J34" s="60" t="s">
        <v>47</v>
      </c>
      <c r="K34" s="60"/>
      <c r="L34" s="60">
        <v>0.5</v>
      </c>
      <c r="M34" s="60">
        <v>8</v>
      </c>
      <c r="N34" s="60">
        <v>8</v>
      </c>
      <c r="O34" s="60"/>
      <c r="P34" s="56">
        <v>1</v>
      </c>
      <c r="Q34" s="54">
        <v>2</v>
      </c>
    </row>
    <row r="35" spans="1:17" x14ac:dyDescent="0.3">
      <c r="A35" s="53" t="str">
        <f t="shared" si="0"/>
        <v>通识教育课程平台_其他类_2</v>
      </c>
      <c r="B35" s="54">
        <f>IFERROR(VLOOKUP(A35,'课程设置与教学进程表（附件2）'!U:V,2,0),"")</f>
        <v>34</v>
      </c>
      <c r="C35" s="59" t="s">
        <v>41</v>
      </c>
      <c r="D35" s="59" t="s">
        <v>59</v>
      </c>
      <c r="E35" s="59"/>
      <c r="F35" s="60">
        <v>2</v>
      </c>
      <c r="G35" s="59" t="s">
        <v>168</v>
      </c>
      <c r="H35" s="59" t="s">
        <v>169</v>
      </c>
      <c r="I35" s="59" t="s">
        <v>170</v>
      </c>
      <c r="J35" s="60" t="s">
        <v>47</v>
      </c>
      <c r="K35" s="60"/>
      <c r="L35" s="60">
        <v>0.5</v>
      </c>
      <c r="M35" s="60">
        <v>8</v>
      </c>
      <c r="N35" s="60">
        <v>8</v>
      </c>
      <c r="O35" s="60"/>
      <c r="P35" s="56">
        <v>6</v>
      </c>
      <c r="Q35" s="54">
        <v>2</v>
      </c>
    </row>
    <row r="36" spans="1:17" x14ac:dyDescent="0.3">
      <c r="A36" s="53" t="str">
        <f t="shared" si="0"/>
        <v>通识教育课程平台_其他类_3</v>
      </c>
      <c r="B36" s="54">
        <f>IFERROR(VLOOKUP(A36,'课程设置与教学进程表（附件2）'!U:V,2,0),"")</f>
        <v>35</v>
      </c>
      <c r="C36" s="59" t="s">
        <v>41</v>
      </c>
      <c r="D36" s="59" t="s">
        <v>59</v>
      </c>
      <c r="E36" s="59"/>
      <c r="F36" s="60">
        <v>3</v>
      </c>
      <c r="G36" s="59" t="s">
        <v>171</v>
      </c>
      <c r="H36" s="59" t="s">
        <v>172</v>
      </c>
      <c r="I36" s="59" t="s">
        <v>173</v>
      </c>
      <c r="J36" s="60" t="s">
        <v>47</v>
      </c>
      <c r="K36" s="60"/>
      <c r="L36" s="60">
        <v>2</v>
      </c>
      <c r="M36" s="60">
        <v>32</v>
      </c>
      <c r="N36" s="60">
        <v>32</v>
      </c>
      <c r="O36" s="60"/>
      <c r="P36" s="54">
        <v>1</v>
      </c>
      <c r="Q36" s="54">
        <v>2</v>
      </c>
    </row>
    <row r="37" spans="1:17" x14ac:dyDescent="0.3">
      <c r="A37" s="53" t="str">
        <f t="shared" si="0"/>
        <v>通识教育课程平台_素质拓展类_1</v>
      </c>
      <c r="B37" s="54">
        <f>IFERROR(VLOOKUP(A37,'课程设置与教学进程表（附件2）'!U:V,2,0),"")</f>
        <v>36</v>
      </c>
      <c r="C37" s="59" t="s">
        <v>41</v>
      </c>
      <c r="D37" s="59" t="s">
        <v>60</v>
      </c>
      <c r="E37" s="59"/>
      <c r="F37" s="60">
        <v>1</v>
      </c>
      <c r="G37" s="59" t="s">
        <v>174</v>
      </c>
      <c r="H37" s="59" t="s">
        <v>175</v>
      </c>
      <c r="I37" s="59"/>
      <c r="J37" s="60" t="s">
        <v>47</v>
      </c>
      <c r="K37" s="60"/>
      <c r="L37" s="60">
        <v>1</v>
      </c>
      <c r="M37" s="60">
        <v>32</v>
      </c>
      <c r="N37" s="60"/>
      <c r="O37" s="60">
        <v>32</v>
      </c>
      <c r="P37" s="54"/>
      <c r="Q37" s="54">
        <v>2</v>
      </c>
    </row>
    <row r="38" spans="1:17" x14ac:dyDescent="0.3">
      <c r="A38" s="53" t="str">
        <f t="shared" si="0"/>
        <v>通识教育课程平台_通识选修课程_1</v>
      </c>
      <c r="B38" s="54">
        <f>IFERROR(VLOOKUP(A38,'课程设置与教学进程表（附件2）'!U:V,2,0),"")</f>
        <v>37</v>
      </c>
      <c r="C38" s="59" t="s">
        <v>41</v>
      </c>
      <c r="D38" s="59" t="s">
        <v>61</v>
      </c>
      <c r="E38" s="59"/>
      <c r="F38" s="60">
        <v>1</v>
      </c>
      <c r="G38" s="59" t="s">
        <v>131</v>
      </c>
      <c r="H38" s="59" t="s">
        <v>176</v>
      </c>
      <c r="I38" s="59" t="s">
        <v>177</v>
      </c>
      <c r="J38" s="60" t="s">
        <v>50</v>
      </c>
      <c r="K38" s="60"/>
      <c r="L38" s="60"/>
      <c r="M38" s="60"/>
      <c r="N38" s="60"/>
      <c r="O38" s="60"/>
      <c r="P38" s="54"/>
      <c r="Q38" s="54"/>
    </row>
    <row r="39" spans="1:17" x14ac:dyDescent="0.3">
      <c r="A39" s="53" t="str">
        <f t="shared" si="0"/>
        <v>通识教育课程平台_通识选修课程_2</v>
      </c>
      <c r="B39" s="54">
        <f>IFERROR(VLOOKUP(A39,'课程设置与教学进程表（附件2）'!U:V,2,0),"")</f>
        <v>38</v>
      </c>
      <c r="C39" s="59" t="s">
        <v>41</v>
      </c>
      <c r="D39" s="59" t="s">
        <v>61</v>
      </c>
      <c r="E39" s="59"/>
      <c r="F39" s="60">
        <v>2</v>
      </c>
      <c r="G39" s="59" t="s">
        <v>131</v>
      </c>
      <c r="H39" s="59" t="s">
        <v>178</v>
      </c>
      <c r="I39" s="59" t="s">
        <v>179</v>
      </c>
      <c r="J39" s="60" t="s">
        <v>50</v>
      </c>
      <c r="K39" s="60"/>
      <c r="L39" s="60"/>
      <c r="M39" s="60"/>
      <c r="N39" s="60"/>
      <c r="O39" s="60"/>
      <c r="P39" s="54"/>
      <c r="Q39" s="54"/>
    </row>
    <row r="40" spans="1:17" x14ac:dyDescent="0.3">
      <c r="A40" s="53" t="str">
        <f t="shared" si="0"/>
        <v>通识教育课程平台_通识选修课程_3</v>
      </c>
      <c r="B40" s="54">
        <f>IFERROR(VLOOKUP(A40,'课程设置与教学进程表（附件2）'!U:V,2,0),"")</f>
        <v>39</v>
      </c>
      <c r="C40" s="59" t="s">
        <v>41</v>
      </c>
      <c r="D40" s="59" t="s">
        <v>61</v>
      </c>
      <c r="E40" s="59"/>
      <c r="F40" s="60">
        <v>3</v>
      </c>
      <c r="G40" s="59" t="s">
        <v>131</v>
      </c>
      <c r="H40" s="59" t="s">
        <v>180</v>
      </c>
      <c r="I40" s="59" t="s">
        <v>181</v>
      </c>
      <c r="J40" s="60" t="s">
        <v>50</v>
      </c>
      <c r="K40" s="60"/>
      <c r="L40" s="60"/>
      <c r="M40" s="60"/>
      <c r="N40" s="60"/>
      <c r="O40" s="60"/>
      <c r="P40" s="54"/>
      <c r="Q40" s="54"/>
    </row>
    <row r="41" spans="1:17" x14ac:dyDescent="0.3">
      <c r="A41" s="53" t="str">
        <f t="shared" si="0"/>
        <v>专业能力课程平台_专业大类课程模块_专业基础类_1</v>
      </c>
      <c r="B41" s="54">
        <f>IFERROR(VLOOKUP(A41,'课程设置与教学进程表（附件2）'!U:V,2,0),"")</f>
        <v>53</v>
      </c>
      <c r="C41" s="55" t="s">
        <v>43</v>
      </c>
      <c r="D41" s="55" t="s">
        <v>42</v>
      </c>
      <c r="E41" s="55" t="s">
        <v>22</v>
      </c>
      <c r="F41" s="56">
        <v>1</v>
      </c>
      <c r="G41" s="56" t="s">
        <v>182</v>
      </c>
      <c r="H41" s="62" t="s">
        <v>183</v>
      </c>
      <c r="I41" s="62" t="s">
        <v>184</v>
      </c>
      <c r="J41" s="66" t="s">
        <v>47</v>
      </c>
      <c r="K41" s="66" t="s">
        <v>48</v>
      </c>
      <c r="L41" s="66">
        <v>3</v>
      </c>
      <c r="M41" s="66">
        <v>48</v>
      </c>
      <c r="N41" s="66">
        <v>48</v>
      </c>
      <c r="O41" s="66">
        <v>0</v>
      </c>
      <c r="P41" s="66">
        <v>1</v>
      </c>
      <c r="Q41" s="66">
        <v>3</v>
      </c>
    </row>
    <row r="42" spans="1:17" x14ac:dyDescent="0.3">
      <c r="A42" s="53" t="str">
        <f t="shared" si="0"/>
        <v>专业能力课程平台_专业大类课程模块_专业基础类_2</v>
      </c>
      <c r="B42" s="54">
        <f>IFERROR(VLOOKUP(A42,'课程设置与教学进程表（附件2）'!U:V,2,0),"")</f>
        <v>54</v>
      </c>
      <c r="C42" s="55" t="s">
        <v>43</v>
      </c>
      <c r="D42" s="55" t="s">
        <v>42</v>
      </c>
      <c r="E42" s="55" t="s">
        <v>22</v>
      </c>
      <c r="F42" s="56">
        <v>2</v>
      </c>
      <c r="G42" s="56" t="s">
        <v>185</v>
      </c>
      <c r="H42" s="62" t="s">
        <v>186</v>
      </c>
      <c r="I42" s="62" t="s">
        <v>187</v>
      </c>
      <c r="J42" s="66" t="s">
        <v>47</v>
      </c>
      <c r="K42" s="66" t="s">
        <v>48</v>
      </c>
      <c r="L42" s="66">
        <v>2.5</v>
      </c>
      <c r="M42" s="66">
        <v>40</v>
      </c>
      <c r="N42" s="66">
        <v>40</v>
      </c>
      <c r="O42" s="66">
        <v>0</v>
      </c>
      <c r="P42" s="66">
        <v>2</v>
      </c>
      <c r="Q42" s="66">
        <v>2.5</v>
      </c>
    </row>
    <row r="43" spans="1:17" x14ac:dyDescent="0.3">
      <c r="A43" s="53" t="str">
        <f t="shared" si="0"/>
        <v>专业能力课程平台_飞行器设计_必修_1</v>
      </c>
      <c r="B43" s="54">
        <f>IFERROR(VLOOKUP(A43,'课程设置与教学进程表（附件2）'!U:V,2,0),"")</f>
        <v>59</v>
      </c>
      <c r="C43" s="55" t="s">
        <v>43</v>
      </c>
      <c r="D43" s="55" t="s">
        <v>439</v>
      </c>
      <c r="E43" s="55" t="s">
        <v>47</v>
      </c>
      <c r="F43" s="56">
        <v>1</v>
      </c>
      <c r="G43" s="56" t="s">
        <v>188</v>
      </c>
      <c r="H43" s="62" t="s">
        <v>189</v>
      </c>
      <c r="I43" s="67" t="s">
        <v>190</v>
      </c>
      <c r="J43" s="66" t="s">
        <v>47</v>
      </c>
      <c r="K43" s="66" t="s">
        <v>48</v>
      </c>
      <c r="L43" s="66">
        <v>3</v>
      </c>
      <c r="M43" s="66">
        <v>48</v>
      </c>
      <c r="N43" s="66">
        <v>42</v>
      </c>
      <c r="O43" s="66">
        <v>6</v>
      </c>
      <c r="P43" s="66">
        <v>4</v>
      </c>
      <c r="Q43" s="66">
        <v>3</v>
      </c>
    </row>
    <row r="44" spans="1:17" x14ac:dyDescent="0.3">
      <c r="A44" s="53" t="str">
        <f t="shared" si="0"/>
        <v>专业能力课程平台_飞行器设计_必修_2</v>
      </c>
      <c r="B44" s="54">
        <f>IFERROR(VLOOKUP(A44,'课程设置与教学进程表（附件2）'!U:V,2,0),"")</f>
        <v>60</v>
      </c>
      <c r="C44" s="55" t="s">
        <v>43</v>
      </c>
      <c r="D44" s="55" t="s">
        <v>31</v>
      </c>
      <c r="E44" s="55" t="s">
        <v>47</v>
      </c>
      <c r="F44" s="56">
        <v>2</v>
      </c>
      <c r="G44" s="56" t="s">
        <v>191</v>
      </c>
      <c r="H44" s="62" t="s">
        <v>192</v>
      </c>
      <c r="I44" s="62" t="s">
        <v>193</v>
      </c>
      <c r="J44" s="66" t="s">
        <v>47</v>
      </c>
      <c r="K44" s="66" t="s">
        <v>48</v>
      </c>
      <c r="L44" s="66">
        <v>4</v>
      </c>
      <c r="M44" s="66">
        <v>64</v>
      </c>
      <c r="N44" s="66">
        <v>58</v>
      </c>
      <c r="O44" s="66">
        <v>6</v>
      </c>
      <c r="P44" s="66">
        <v>5</v>
      </c>
      <c r="Q44" s="66">
        <v>4</v>
      </c>
    </row>
    <row r="45" spans="1:17" x14ac:dyDescent="0.3">
      <c r="A45" s="53" t="str">
        <f t="shared" si="0"/>
        <v>专业能力课程平台_专业大类课程模块_数学与自然科学类_10</v>
      </c>
      <c r="B45" s="54">
        <f>IFERROR(VLOOKUP(A45,'课程设置与教学进程表（附件2）'!U:V,2,0),"")</f>
        <v>49</v>
      </c>
      <c r="C45" s="55" t="s">
        <v>43</v>
      </c>
      <c r="D45" s="55" t="s">
        <v>42</v>
      </c>
      <c r="E45" s="55" t="s">
        <v>20</v>
      </c>
      <c r="F45" s="56">
        <v>10</v>
      </c>
      <c r="G45" s="56" t="s">
        <v>194</v>
      </c>
      <c r="H45" s="62" t="s">
        <v>477</v>
      </c>
      <c r="I45" s="62" t="s">
        <v>195</v>
      </c>
      <c r="J45" s="66" t="s">
        <v>47</v>
      </c>
      <c r="K45" s="66" t="s">
        <v>51</v>
      </c>
      <c r="L45" s="66">
        <v>1.5</v>
      </c>
      <c r="M45" s="66">
        <v>24</v>
      </c>
      <c r="N45" s="66">
        <v>24</v>
      </c>
      <c r="O45" s="66">
        <v>0</v>
      </c>
      <c r="P45" s="66">
        <v>5</v>
      </c>
      <c r="Q45" s="66">
        <v>1.5</v>
      </c>
    </row>
    <row r="46" spans="1:17" x14ac:dyDescent="0.3">
      <c r="A46" s="53" t="str">
        <f t="shared" si="0"/>
        <v>专业能力课程平台_飞行器设计_选修_3</v>
      </c>
      <c r="B46" s="54">
        <f>IFERROR(VLOOKUP(A46,'课程设置与教学进程表（附件2）'!U:V,2,0),"")</f>
        <v>64</v>
      </c>
      <c r="C46" s="55" t="s">
        <v>43</v>
      </c>
      <c r="D46" s="55" t="s">
        <v>31</v>
      </c>
      <c r="E46" s="55" t="s">
        <v>50</v>
      </c>
      <c r="F46" s="56">
        <v>3</v>
      </c>
      <c r="G46" s="56" t="s">
        <v>196</v>
      </c>
      <c r="H46" s="62" t="s">
        <v>476</v>
      </c>
      <c r="I46" s="62" t="s">
        <v>197</v>
      </c>
      <c r="J46" s="66" t="s">
        <v>50</v>
      </c>
      <c r="K46" s="66" t="s">
        <v>48</v>
      </c>
      <c r="L46" s="66">
        <v>2</v>
      </c>
      <c r="M46" s="66">
        <v>32</v>
      </c>
      <c r="N46" s="66">
        <v>26</v>
      </c>
      <c r="O46" s="66">
        <v>6</v>
      </c>
      <c r="P46" s="66">
        <v>5</v>
      </c>
      <c r="Q46" s="66">
        <v>2</v>
      </c>
    </row>
    <row r="47" spans="1:17" ht="14" x14ac:dyDescent="0.3">
      <c r="A47" s="53" t="str">
        <f t="shared" si="0"/>
        <v>专业能力课程平台_飞行器设计_选修_1</v>
      </c>
      <c r="B47" s="54">
        <f>IFERROR(VLOOKUP(A47,'课程设置与教学进程表（附件2）'!U:V,2,0),"")</f>
        <v>62</v>
      </c>
      <c r="C47" s="55" t="s">
        <v>43</v>
      </c>
      <c r="D47" s="55" t="s">
        <v>31</v>
      </c>
      <c r="E47" s="55" t="s">
        <v>50</v>
      </c>
      <c r="F47" s="56">
        <v>1</v>
      </c>
      <c r="G47" s="56" t="s">
        <v>445</v>
      </c>
      <c r="H47" s="62" t="s">
        <v>416</v>
      </c>
      <c r="I47" s="62" t="s">
        <v>418</v>
      </c>
      <c r="J47" s="66" t="s">
        <v>442</v>
      </c>
      <c r="K47" s="66" t="s">
        <v>48</v>
      </c>
      <c r="L47" s="66">
        <v>3</v>
      </c>
      <c r="M47" s="66">
        <v>48</v>
      </c>
      <c r="N47" s="66">
        <v>44</v>
      </c>
      <c r="O47" s="68">
        <v>4</v>
      </c>
      <c r="P47" s="66">
        <v>6</v>
      </c>
      <c r="Q47" s="66">
        <v>3</v>
      </c>
    </row>
    <row r="48" spans="1:17" ht="14" x14ac:dyDescent="0.3">
      <c r="A48" s="53" t="str">
        <f t="shared" si="0"/>
        <v>专业能力课程平台_飞行器设计_选修_2</v>
      </c>
      <c r="B48" s="54">
        <f>IFERROR(VLOOKUP(A48,'课程设置与教学进程表（附件2）'!U:V,2,0),"")</f>
        <v>63</v>
      </c>
      <c r="C48" s="55" t="s">
        <v>43</v>
      </c>
      <c r="D48" s="55" t="s">
        <v>31</v>
      </c>
      <c r="E48" s="55" t="s">
        <v>50</v>
      </c>
      <c r="F48" s="56">
        <v>2</v>
      </c>
      <c r="G48" s="56"/>
      <c r="H48" s="62" t="s">
        <v>417</v>
      </c>
      <c r="I48" s="62" t="s">
        <v>419</v>
      </c>
      <c r="J48" s="66" t="s">
        <v>50</v>
      </c>
      <c r="K48" s="66" t="s">
        <v>51</v>
      </c>
      <c r="L48" s="66">
        <v>2</v>
      </c>
      <c r="M48" s="66">
        <v>32</v>
      </c>
      <c r="N48" s="66">
        <v>32</v>
      </c>
      <c r="O48" s="68">
        <v>0</v>
      </c>
      <c r="P48" s="66">
        <v>2</v>
      </c>
      <c r="Q48" s="66">
        <v>2</v>
      </c>
    </row>
    <row r="49" spans="1:19" x14ac:dyDescent="0.3">
      <c r="A49" s="53" t="str">
        <f t="shared" si="0"/>
        <v>专业能力课程平台_飞行器制造_必修_5</v>
      </c>
      <c r="B49" s="54">
        <f>IFERROR(VLOOKUP(A49,'课程设置与教学进程表（附件2）'!U:V,2,0),"")</f>
        <v>69</v>
      </c>
      <c r="C49" s="55" t="s">
        <v>43</v>
      </c>
      <c r="D49" s="55" t="s">
        <v>32</v>
      </c>
      <c r="E49" s="55" t="s">
        <v>47</v>
      </c>
      <c r="F49" s="56">
        <v>5</v>
      </c>
      <c r="G49" s="56"/>
      <c r="H49" s="62" t="s">
        <v>473</v>
      </c>
      <c r="I49" s="62" t="s">
        <v>198</v>
      </c>
      <c r="J49" s="66" t="s">
        <v>47</v>
      </c>
      <c r="K49" s="66" t="s">
        <v>48</v>
      </c>
      <c r="L49" s="66">
        <v>2</v>
      </c>
      <c r="M49" s="66">
        <v>32</v>
      </c>
      <c r="N49" s="66">
        <v>28</v>
      </c>
      <c r="O49" s="66">
        <v>4</v>
      </c>
      <c r="P49" s="66">
        <v>5</v>
      </c>
      <c r="Q49" s="66">
        <v>1</v>
      </c>
    </row>
    <row r="50" spans="1:19" x14ac:dyDescent="0.3">
      <c r="A50" s="53" t="str">
        <f t="shared" si="0"/>
        <v>专业能力课程平台_飞行器制造_必修_1</v>
      </c>
      <c r="B50" s="54">
        <f>IFERROR(VLOOKUP(A50,'课程设置与教学进程表（附件2）'!U:V,2,0),"")</f>
        <v>65</v>
      </c>
      <c r="C50" s="55" t="s">
        <v>43</v>
      </c>
      <c r="D50" s="55" t="s">
        <v>32</v>
      </c>
      <c r="E50" s="55" t="s">
        <v>47</v>
      </c>
      <c r="F50" s="56">
        <v>1</v>
      </c>
      <c r="G50" s="56"/>
      <c r="H50" s="62" t="s">
        <v>199</v>
      </c>
      <c r="I50" s="62" t="s">
        <v>200</v>
      </c>
      <c r="J50" s="66" t="s">
        <v>47</v>
      </c>
      <c r="K50" s="66" t="s">
        <v>51</v>
      </c>
      <c r="L50" s="66">
        <v>1</v>
      </c>
      <c r="M50" s="66">
        <v>16</v>
      </c>
      <c r="N50" s="66">
        <v>16</v>
      </c>
      <c r="O50" s="66">
        <v>0</v>
      </c>
      <c r="P50" s="66">
        <v>1</v>
      </c>
      <c r="Q50" s="66">
        <v>1</v>
      </c>
    </row>
    <row r="51" spans="1:19" x14ac:dyDescent="0.3">
      <c r="A51" s="53" t="str">
        <f t="shared" si="0"/>
        <v>专业能力课程平台_专业大类课程模块_工程基础类_1</v>
      </c>
      <c r="B51" s="54">
        <f>IFERROR(VLOOKUP(A51,'课程设置与教学进程表（附件2）'!U:V,2,0),"")</f>
        <v>50</v>
      </c>
      <c r="C51" s="55" t="s">
        <v>43</v>
      </c>
      <c r="D51" s="55" t="s">
        <v>42</v>
      </c>
      <c r="E51" s="55" t="s">
        <v>21</v>
      </c>
      <c r="F51" s="56">
        <v>1</v>
      </c>
      <c r="G51" s="56" t="s">
        <v>201</v>
      </c>
      <c r="H51" s="62" t="s">
        <v>202</v>
      </c>
      <c r="I51" s="62" t="s">
        <v>203</v>
      </c>
      <c r="J51" s="66" t="s">
        <v>47</v>
      </c>
      <c r="K51" s="66" t="s">
        <v>48</v>
      </c>
      <c r="L51" s="66">
        <v>2.5</v>
      </c>
      <c r="M51" s="66">
        <v>40</v>
      </c>
      <c r="N51" s="66">
        <v>40</v>
      </c>
      <c r="O51" s="66">
        <v>0</v>
      </c>
      <c r="P51" s="66">
        <v>3</v>
      </c>
      <c r="Q51" s="66">
        <v>2.5</v>
      </c>
    </row>
    <row r="52" spans="1:19" x14ac:dyDescent="0.3">
      <c r="A52" s="53" t="str">
        <f t="shared" si="0"/>
        <v>专业能力课程平台_专业大类课程模块_工程基础类_2</v>
      </c>
      <c r="B52" s="54">
        <f>IFERROR(VLOOKUP(A52,'课程设置与教学进程表（附件2）'!U:V,2,0),"")</f>
        <v>51</v>
      </c>
      <c r="C52" s="55" t="s">
        <v>43</v>
      </c>
      <c r="D52" s="55" t="s">
        <v>42</v>
      </c>
      <c r="E52" s="55" t="s">
        <v>21</v>
      </c>
      <c r="F52" s="56">
        <v>2</v>
      </c>
      <c r="G52" s="56" t="s">
        <v>204</v>
      </c>
      <c r="H52" s="62" t="s">
        <v>205</v>
      </c>
      <c r="I52" s="62" t="s">
        <v>206</v>
      </c>
      <c r="J52" s="66" t="s">
        <v>47</v>
      </c>
      <c r="K52" s="66" t="s">
        <v>48</v>
      </c>
      <c r="L52" s="66">
        <v>2.5</v>
      </c>
      <c r="M52" s="66">
        <v>40</v>
      </c>
      <c r="N52" s="66">
        <v>36</v>
      </c>
      <c r="O52" s="66">
        <v>4</v>
      </c>
      <c r="P52" s="66">
        <v>4</v>
      </c>
      <c r="Q52" s="66">
        <v>2.5</v>
      </c>
    </row>
    <row r="53" spans="1:19" x14ac:dyDescent="0.3">
      <c r="A53" s="53" t="str">
        <f t="shared" si="0"/>
        <v>专业能力课程平台_专业大类课程模块_工程基础类_3</v>
      </c>
      <c r="B53" s="54">
        <f>IFERROR(VLOOKUP(A53,'课程设置与教学进程表（附件2）'!U:V,2,0),"")</f>
        <v>52</v>
      </c>
      <c r="C53" s="55" t="s">
        <v>43</v>
      </c>
      <c r="D53" s="55" t="s">
        <v>42</v>
      </c>
      <c r="E53" s="55" t="s">
        <v>21</v>
      </c>
      <c r="F53" s="56">
        <v>3</v>
      </c>
      <c r="G53" s="56" t="s">
        <v>207</v>
      </c>
      <c r="H53" s="62" t="s">
        <v>475</v>
      </c>
      <c r="I53" s="62" t="s">
        <v>208</v>
      </c>
      <c r="J53" s="66" t="s">
        <v>47</v>
      </c>
      <c r="K53" s="66" t="s">
        <v>51</v>
      </c>
      <c r="L53" s="66">
        <v>2.5</v>
      </c>
      <c r="M53" s="66">
        <v>40</v>
      </c>
      <c r="N53" s="66">
        <v>36</v>
      </c>
      <c r="O53" s="66">
        <v>4</v>
      </c>
      <c r="P53" s="66">
        <v>3</v>
      </c>
      <c r="Q53" s="66">
        <v>2.5</v>
      </c>
    </row>
    <row r="54" spans="1:19" x14ac:dyDescent="0.3">
      <c r="A54" s="53" t="str">
        <f t="shared" si="0"/>
        <v>专业能力课程平台_飞行器制造_必修_2</v>
      </c>
      <c r="B54" s="54">
        <f>IFERROR(VLOOKUP(A54,'课程设置与教学进程表（附件2）'!U:V,2,0),"")</f>
        <v>66</v>
      </c>
      <c r="C54" s="55" t="s">
        <v>43</v>
      </c>
      <c r="D54" s="55" t="s">
        <v>32</v>
      </c>
      <c r="E54" s="55" t="s">
        <v>47</v>
      </c>
      <c r="F54" s="56">
        <v>2</v>
      </c>
      <c r="G54" s="56" t="s">
        <v>478</v>
      </c>
      <c r="H54" s="62" t="s">
        <v>446</v>
      </c>
      <c r="I54" s="62" t="s">
        <v>447</v>
      </c>
      <c r="J54" s="66" t="s">
        <v>47</v>
      </c>
      <c r="K54" s="66" t="s">
        <v>48</v>
      </c>
      <c r="L54" s="66">
        <v>2</v>
      </c>
      <c r="M54" s="66">
        <v>32</v>
      </c>
      <c r="N54" s="66">
        <v>28</v>
      </c>
      <c r="O54" s="66">
        <v>4</v>
      </c>
      <c r="P54" s="66">
        <v>4</v>
      </c>
      <c r="Q54" s="66">
        <v>2</v>
      </c>
      <c r="S54" s="55" t="s">
        <v>205</v>
      </c>
    </row>
    <row r="55" spans="1:19" x14ac:dyDescent="0.3">
      <c r="A55" s="53" t="str">
        <f t="shared" si="0"/>
        <v>专业能力课程平台_飞行器制造_必修_3</v>
      </c>
      <c r="B55" s="54">
        <f>IFERROR(VLOOKUP(A55,'课程设置与教学进程表（附件2）'!U:V,2,0),"")</f>
        <v>67</v>
      </c>
      <c r="C55" s="55" t="s">
        <v>43</v>
      </c>
      <c r="D55" s="55" t="s">
        <v>32</v>
      </c>
      <c r="E55" s="55" t="s">
        <v>47</v>
      </c>
      <c r="F55" s="56">
        <v>3</v>
      </c>
      <c r="G55" s="56"/>
      <c r="H55" s="62" t="s">
        <v>421</v>
      </c>
      <c r="I55" s="62" t="s">
        <v>209</v>
      </c>
      <c r="J55" s="66" t="s">
        <v>47</v>
      </c>
      <c r="K55" s="66" t="s">
        <v>48</v>
      </c>
      <c r="L55" s="66">
        <v>2</v>
      </c>
      <c r="M55" s="66">
        <v>32</v>
      </c>
      <c r="N55" s="66">
        <v>32</v>
      </c>
      <c r="O55" s="66">
        <v>0</v>
      </c>
      <c r="P55" s="66">
        <v>6</v>
      </c>
      <c r="Q55" s="66">
        <v>2</v>
      </c>
    </row>
    <row r="56" spans="1:19" x14ac:dyDescent="0.3">
      <c r="A56" s="53" t="str">
        <f t="shared" si="0"/>
        <v>专业能力课程平台_飞行器制造_必修_4</v>
      </c>
      <c r="B56" s="54">
        <f>IFERROR(VLOOKUP(A56,'课程设置与教学进程表（附件2）'!U:V,2,0),"")</f>
        <v>68</v>
      </c>
      <c r="C56" s="55" t="s">
        <v>43</v>
      </c>
      <c r="D56" s="55" t="s">
        <v>32</v>
      </c>
      <c r="E56" s="55" t="s">
        <v>47</v>
      </c>
      <c r="F56" s="56">
        <v>4</v>
      </c>
      <c r="G56" s="56"/>
      <c r="H56" s="62" t="s">
        <v>441</v>
      </c>
      <c r="I56" s="62" t="s">
        <v>443</v>
      </c>
      <c r="J56" s="66" t="s">
        <v>47</v>
      </c>
      <c r="K56" s="66" t="s">
        <v>48</v>
      </c>
      <c r="L56" s="66">
        <v>1.5</v>
      </c>
      <c r="M56" s="66">
        <v>24</v>
      </c>
      <c r="N56" s="66">
        <v>20</v>
      </c>
      <c r="O56" s="66">
        <v>4</v>
      </c>
      <c r="P56" s="66">
        <v>6</v>
      </c>
      <c r="Q56" s="66">
        <v>1.5</v>
      </c>
    </row>
    <row r="57" spans="1:19" x14ac:dyDescent="0.3">
      <c r="A57" s="53" t="str">
        <f t="shared" si="0"/>
        <v>专业能力课程平台_飞行器制造_选修_1</v>
      </c>
      <c r="B57" s="54">
        <f>IFERROR(VLOOKUP(A57,'课程设置与教学进程表（附件2）'!U:V,2,0),"")</f>
        <v>72</v>
      </c>
      <c r="C57" s="55" t="s">
        <v>43</v>
      </c>
      <c r="D57" s="55" t="s">
        <v>32</v>
      </c>
      <c r="E57" s="55" t="s">
        <v>50</v>
      </c>
      <c r="F57" s="56">
        <v>1</v>
      </c>
      <c r="G57" s="56"/>
      <c r="H57" s="62" t="s">
        <v>448</v>
      </c>
      <c r="I57" s="62" t="s">
        <v>449</v>
      </c>
      <c r="J57" s="66" t="s">
        <v>50</v>
      </c>
      <c r="K57" s="66" t="s">
        <v>51</v>
      </c>
      <c r="L57" s="66">
        <v>2</v>
      </c>
      <c r="M57" s="66">
        <v>32</v>
      </c>
      <c r="N57" s="66">
        <v>16</v>
      </c>
      <c r="O57" s="66">
        <v>16</v>
      </c>
      <c r="P57" s="66">
        <v>7</v>
      </c>
      <c r="Q57" s="66">
        <v>2</v>
      </c>
    </row>
    <row r="58" spans="1:19" x14ac:dyDescent="0.3">
      <c r="A58" s="53" t="str">
        <f t="shared" si="0"/>
        <v>专业能力课程平台_飞行器制造_必修_6</v>
      </c>
      <c r="B58" s="54">
        <f>IFERROR(VLOOKUP(A58,'课程设置与教学进程表（附件2）'!U:V,2,0),"")</f>
        <v>70</v>
      </c>
      <c r="C58" s="55" t="s">
        <v>43</v>
      </c>
      <c r="D58" s="55" t="s">
        <v>32</v>
      </c>
      <c r="E58" s="55" t="s">
        <v>47</v>
      </c>
      <c r="F58" s="56">
        <v>6</v>
      </c>
      <c r="G58" s="56"/>
      <c r="H58" s="62" t="s">
        <v>210</v>
      </c>
      <c r="I58" s="62" t="s">
        <v>211</v>
      </c>
      <c r="J58" s="66" t="s">
        <v>422</v>
      </c>
      <c r="K58" s="66" t="s">
        <v>51</v>
      </c>
      <c r="L58" s="66">
        <v>2</v>
      </c>
      <c r="M58" s="66">
        <v>32</v>
      </c>
      <c r="N58" s="66">
        <v>24</v>
      </c>
      <c r="O58" s="66">
        <v>8</v>
      </c>
      <c r="P58" s="66">
        <v>5</v>
      </c>
      <c r="Q58" s="66">
        <v>2</v>
      </c>
    </row>
    <row r="59" spans="1:19" x14ac:dyDescent="0.3">
      <c r="A59" s="53" t="str">
        <f t="shared" si="0"/>
        <v>专业能力课程平台_专业大类课程模块_专业基础类_6</v>
      </c>
      <c r="B59" s="54">
        <f>IFERROR(VLOOKUP(A59,'课程设置与教学进程表（附件2）'!U:V,2,0),"")</f>
        <v>58</v>
      </c>
      <c r="C59" s="55" t="s">
        <v>43</v>
      </c>
      <c r="D59" s="55" t="s">
        <v>42</v>
      </c>
      <c r="E59" s="55" t="s">
        <v>22</v>
      </c>
      <c r="F59" s="56">
        <v>6</v>
      </c>
      <c r="G59" s="56" t="s">
        <v>212</v>
      </c>
      <c r="H59" s="62" t="s">
        <v>213</v>
      </c>
      <c r="I59" s="55" t="s">
        <v>214</v>
      </c>
      <c r="J59" s="56" t="s">
        <v>47</v>
      </c>
      <c r="K59" s="56" t="s">
        <v>48</v>
      </c>
      <c r="L59" s="56">
        <v>4</v>
      </c>
      <c r="M59" s="56">
        <v>64</v>
      </c>
      <c r="N59" s="56">
        <v>56</v>
      </c>
      <c r="O59" s="56">
        <v>8</v>
      </c>
      <c r="P59" s="56">
        <v>4</v>
      </c>
      <c r="Q59" s="56">
        <v>4</v>
      </c>
    </row>
    <row r="60" spans="1:19" x14ac:dyDescent="0.3">
      <c r="A60" s="53" t="str">
        <f t="shared" si="0"/>
        <v>专业能力课程平台_专业大类课程模块_专业基础类_3</v>
      </c>
      <c r="B60" s="54">
        <f>IFERROR(VLOOKUP(A60,'课程设置与教学进程表（附件2）'!U:V,2,0),"")</f>
        <v>55</v>
      </c>
      <c r="C60" s="55" t="s">
        <v>43</v>
      </c>
      <c r="D60" s="55" t="s">
        <v>42</v>
      </c>
      <c r="E60" s="55" t="s">
        <v>22</v>
      </c>
      <c r="F60" s="56">
        <v>3</v>
      </c>
      <c r="G60" s="56" t="s">
        <v>215</v>
      </c>
      <c r="H60" s="62" t="s">
        <v>216</v>
      </c>
      <c r="I60" s="62" t="s">
        <v>217</v>
      </c>
      <c r="J60" s="66" t="s">
        <v>47</v>
      </c>
      <c r="K60" s="66" t="s">
        <v>51</v>
      </c>
      <c r="L60" s="66">
        <v>2</v>
      </c>
      <c r="M60" s="66">
        <v>32</v>
      </c>
      <c r="N60" s="66">
        <v>24</v>
      </c>
      <c r="O60" s="66">
        <v>8</v>
      </c>
      <c r="P60" s="66">
        <v>3</v>
      </c>
      <c r="Q60" s="66">
        <v>2</v>
      </c>
    </row>
    <row r="61" spans="1:19" x14ac:dyDescent="0.3">
      <c r="A61" s="53" t="str">
        <f t="shared" si="0"/>
        <v>专业能力课程平台_制造自动化与管理_必修_1</v>
      </c>
      <c r="B61" s="54">
        <f>IFERROR(VLOOKUP(A61,'课程设置与教学进程表（附件2）'!U:V,2,0),"")</f>
        <v>74</v>
      </c>
      <c r="C61" s="55" t="s">
        <v>43</v>
      </c>
      <c r="D61" s="55" t="s">
        <v>33</v>
      </c>
      <c r="E61" s="55" t="s">
        <v>47</v>
      </c>
      <c r="F61" s="56">
        <v>1</v>
      </c>
      <c r="G61" s="56" t="s">
        <v>218</v>
      </c>
      <c r="H61" s="62" t="s">
        <v>219</v>
      </c>
      <c r="I61" s="62" t="s">
        <v>220</v>
      </c>
      <c r="J61" s="66" t="s">
        <v>47</v>
      </c>
      <c r="K61" s="56" t="s">
        <v>48</v>
      </c>
      <c r="L61" s="66">
        <v>2</v>
      </c>
      <c r="M61" s="66">
        <v>32</v>
      </c>
      <c r="N61" s="66">
        <v>28</v>
      </c>
      <c r="O61" s="66">
        <v>4</v>
      </c>
      <c r="P61" s="66">
        <v>5</v>
      </c>
      <c r="Q61" s="66">
        <v>2</v>
      </c>
    </row>
    <row r="62" spans="1:19" x14ac:dyDescent="0.3">
      <c r="A62" s="53" t="str">
        <f t="shared" si="0"/>
        <v>专业能力课程平台_制造自动化与管理_必修_2</v>
      </c>
      <c r="B62" s="54">
        <f>IFERROR(VLOOKUP(A62,'课程设置与教学进程表（附件2）'!U:V,2,0),"")</f>
        <v>75</v>
      </c>
      <c r="C62" s="55" t="s">
        <v>43</v>
      </c>
      <c r="D62" s="55" t="s">
        <v>33</v>
      </c>
      <c r="E62" s="55" t="s">
        <v>47</v>
      </c>
      <c r="F62" s="56">
        <v>2</v>
      </c>
      <c r="G62" s="56" t="s">
        <v>221</v>
      </c>
      <c r="H62" s="62" t="s">
        <v>222</v>
      </c>
      <c r="I62" s="62" t="s">
        <v>223</v>
      </c>
      <c r="J62" s="66" t="s">
        <v>47</v>
      </c>
      <c r="K62" s="56" t="s">
        <v>48</v>
      </c>
      <c r="L62" s="66">
        <v>2</v>
      </c>
      <c r="M62" s="66">
        <v>32</v>
      </c>
      <c r="N62" s="66">
        <v>28</v>
      </c>
      <c r="O62" s="66">
        <v>4</v>
      </c>
      <c r="P62" s="66">
        <v>5</v>
      </c>
      <c r="Q62" s="66">
        <v>2</v>
      </c>
    </row>
    <row r="63" spans="1:19" x14ac:dyDescent="0.3">
      <c r="A63" s="53" t="str">
        <f t="shared" si="0"/>
        <v>专业能力课程平台_制造自动化与管理_必修_3</v>
      </c>
      <c r="B63" s="54">
        <f>IFERROR(VLOOKUP(A63,'课程设置与教学进程表（附件2）'!U:V,2,0),"")</f>
        <v>76</v>
      </c>
      <c r="C63" s="55" t="s">
        <v>43</v>
      </c>
      <c r="D63" s="55" t="s">
        <v>33</v>
      </c>
      <c r="E63" s="55" t="s">
        <v>47</v>
      </c>
      <c r="F63" s="56">
        <v>3</v>
      </c>
      <c r="G63" s="56" t="s">
        <v>224</v>
      </c>
      <c r="H63" s="62" t="s">
        <v>225</v>
      </c>
      <c r="I63" s="62" t="s">
        <v>226</v>
      </c>
      <c r="J63" s="66" t="s">
        <v>47</v>
      </c>
      <c r="K63" s="66" t="s">
        <v>51</v>
      </c>
      <c r="L63" s="66">
        <v>1.5</v>
      </c>
      <c r="M63" s="66">
        <v>24</v>
      </c>
      <c r="N63" s="66">
        <v>24</v>
      </c>
      <c r="O63" s="66">
        <v>0</v>
      </c>
      <c r="P63" s="66">
        <v>5</v>
      </c>
      <c r="Q63" s="66">
        <v>1.5</v>
      </c>
    </row>
    <row r="64" spans="1:19" x14ac:dyDescent="0.3">
      <c r="A64" s="53" t="str">
        <f t="shared" si="0"/>
        <v>专业能力课程平台_专业大类课程模块_专业基础类_4</v>
      </c>
      <c r="B64" s="54">
        <f>IFERROR(VLOOKUP(A64,'课程设置与教学进程表（附件2）'!U:V,2,0),"")</f>
        <v>56</v>
      </c>
      <c r="C64" s="55" t="s">
        <v>43</v>
      </c>
      <c r="D64" s="55" t="s">
        <v>42</v>
      </c>
      <c r="E64" s="55" t="s">
        <v>22</v>
      </c>
      <c r="F64" s="56">
        <v>4</v>
      </c>
      <c r="G64" s="62" t="s">
        <v>227</v>
      </c>
      <c r="H64" s="62" t="s">
        <v>466</v>
      </c>
      <c r="I64" s="62" t="s">
        <v>467</v>
      </c>
      <c r="J64" s="66" t="s">
        <v>47</v>
      </c>
      <c r="K64" s="66" t="s">
        <v>48</v>
      </c>
      <c r="L64" s="66">
        <v>2</v>
      </c>
      <c r="M64" s="66">
        <v>32</v>
      </c>
      <c r="N64" s="66">
        <v>32</v>
      </c>
      <c r="O64" s="66">
        <v>0</v>
      </c>
      <c r="P64" s="66">
        <v>2</v>
      </c>
      <c r="Q64" s="66">
        <v>2</v>
      </c>
    </row>
    <row r="65" spans="1:17" x14ac:dyDescent="0.3">
      <c r="A65" s="53" t="str">
        <f t="shared" si="0"/>
        <v>专业能力课程平台_制造自动化与管理_选修_1</v>
      </c>
      <c r="B65" s="54">
        <f>IFERROR(VLOOKUP(A65,'课程设置与教学进程表（附件2）'!U:V,2,0),"")</f>
        <v>77</v>
      </c>
      <c r="C65" s="55" t="s">
        <v>43</v>
      </c>
      <c r="D65" s="55" t="s">
        <v>33</v>
      </c>
      <c r="E65" s="55" t="s">
        <v>50</v>
      </c>
      <c r="F65" s="56">
        <v>1</v>
      </c>
      <c r="G65" s="62"/>
      <c r="H65" s="62" t="s">
        <v>228</v>
      </c>
      <c r="I65" s="62" t="s">
        <v>229</v>
      </c>
      <c r="J65" s="66" t="s">
        <v>50</v>
      </c>
      <c r="K65" s="66" t="s">
        <v>51</v>
      </c>
      <c r="L65" s="66">
        <v>1</v>
      </c>
      <c r="M65" s="66">
        <v>16</v>
      </c>
      <c r="N65" s="66">
        <v>16</v>
      </c>
      <c r="O65" s="66">
        <v>0</v>
      </c>
      <c r="P65" s="66">
        <v>7</v>
      </c>
      <c r="Q65" s="66">
        <v>1</v>
      </c>
    </row>
    <row r="66" spans="1:17" x14ac:dyDescent="0.3">
      <c r="A66" s="53" t="str">
        <f t="shared" ref="A66:A128" si="1">IF(IF(E66&lt;&gt;"",C66&amp;"_"&amp;D66&amp;"_"&amp;E66&amp;"_"&amp;F66,C66&amp;"_"&amp;D66&amp;"_"&amp;F66)&lt;&gt;"__",IF(E66&lt;&gt;"",C66&amp;"_"&amp;D66&amp;"_"&amp;E66&amp;"_"&amp;F66,C66&amp;"_"&amp;D66&amp;"_"&amp;F66),"")</f>
        <v>专业能力课程平台_制造自动化与管理_选修_2</v>
      </c>
      <c r="B66" s="54">
        <f>IFERROR(VLOOKUP(A66,'课程设置与教学进程表（附件2）'!U:V,2,0),"")</f>
        <v>78</v>
      </c>
      <c r="C66" s="55" t="s">
        <v>43</v>
      </c>
      <c r="D66" s="55" t="s">
        <v>33</v>
      </c>
      <c r="E66" s="55" t="s">
        <v>50</v>
      </c>
      <c r="F66" s="56">
        <v>2</v>
      </c>
      <c r="G66" s="62" t="s">
        <v>230</v>
      </c>
      <c r="H66" s="62" t="s">
        <v>231</v>
      </c>
      <c r="I66" s="62" t="s">
        <v>232</v>
      </c>
      <c r="J66" s="66" t="s">
        <v>50</v>
      </c>
      <c r="K66" s="66" t="s">
        <v>51</v>
      </c>
      <c r="L66" s="66">
        <v>2</v>
      </c>
      <c r="M66" s="66">
        <v>32</v>
      </c>
      <c r="N66" s="66">
        <v>24</v>
      </c>
      <c r="O66" s="66">
        <v>8</v>
      </c>
      <c r="P66" s="66">
        <v>7</v>
      </c>
      <c r="Q66" s="66">
        <v>2</v>
      </c>
    </row>
    <row r="67" spans="1:17" x14ac:dyDescent="0.3">
      <c r="A67" s="53" t="str">
        <f t="shared" si="1"/>
        <v>专业能力课程平台_制造自动化与管理_必修_</v>
      </c>
      <c r="B67" s="54" t="str">
        <f>IFERROR(VLOOKUP(A67,'课程设置与教学进程表（附件2）'!U:V,2,0),"")</f>
        <v/>
      </c>
      <c r="C67" s="55" t="s">
        <v>43</v>
      </c>
      <c r="D67" s="55" t="s">
        <v>33</v>
      </c>
      <c r="E67" s="55" t="s">
        <v>47</v>
      </c>
    </row>
    <row r="68" spans="1:17" x14ac:dyDescent="0.3">
      <c r="A68" s="53" t="str">
        <f t="shared" si="1"/>
        <v>专业能力课程平台_专业大类课程模块_数学与自然科学类_1</v>
      </c>
      <c r="B68" s="54">
        <f>IFERROR(VLOOKUP(A68,'课程设置与教学进程表（附件2）'!U:V,2,0),"")</f>
        <v>40</v>
      </c>
      <c r="C68" s="55" t="s">
        <v>43</v>
      </c>
      <c r="D68" s="55" t="s">
        <v>42</v>
      </c>
      <c r="E68" s="55" t="s">
        <v>20</v>
      </c>
      <c r="F68" s="56">
        <v>1</v>
      </c>
      <c r="G68" s="55" t="s">
        <v>233</v>
      </c>
      <c r="H68" s="62" t="s">
        <v>234</v>
      </c>
      <c r="I68" s="62" t="s">
        <v>235</v>
      </c>
      <c r="J68" s="66" t="s">
        <v>47</v>
      </c>
      <c r="K68" s="66" t="s">
        <v>48</v>
      </c>
      <c r="L68" s="66">
        <v>5</v>
      </c>
      <c r="M68" s="66">
        <v>80</v>
      </c>
      <c r="N68" s="66">
        <v>80</v>
      </c>
      <c r="O68" s="66">
        <v>0</v>
      </c>
      <c r="P68" s="66">
        <v>1</v>
      </c>
      <c r="Q68" s="66">
        <v>5</v>
      </c>
    </row>
    <row r="69" spans="1:17" x14ac:dyDescent="0.3">
      <c r="A69" s="53" t="str">
        <f t="shared" si="1"/>
        <v>专业能力课程平台_专业大类课程模块_数学与自然科学类_2</v>
      </c>
      <c r="B69" s="54">
        <f>IFERROR(VLOOKUP(A69,'课程设置与教学进程表（附件2）'!U:V,2,0),"")</f>
        <v>41</v>
      </c>
      <c r="C69" s="55" t="s">
        <v>43</v>
      </c>
      <c r="D69" s="55" t="s">
        <v>42</v>
      </c>
      <c r="E69" s="55" t="s">
        <v>20</v>
      </c>
      <c r="F69" s="56">
        <v>2</v>
      </c>
      <c r="G69" s="55" t="s">
        <v>236</v>
      </c>
      <c r="H69" s="62" t="s">
        <v>237</v>
      </c>
      <c r="I69" s="62" t="s">
        <v>469</v>
      </c>
      <c r="J69" s="66" t="s">
        <v>47</v>
      </c>
      <c r="K69" s="66" t="s">
        <v>48</v>
      </c>
      <c r="L69" s="66">
        <v>6</v>
      </c>
      <c r="M69" s="66">
        <v>96</v>
      </c>
      <c r="N69" s="66">
        <v>96</v>
      </c>
      <c r="O69" s="66">
        <v>0</v>
      </c>
      <c r="P69" s="66">
        <v>2</v>
      </c>
      <c r="Q69" s="66">
        <v>6</v>
      </c>
    </row>
    <row r="70" spans="1:17" x14ac:dyDescent="0.3">
      <c r="A70" s="53" t="str">
        <f t="shared" si="1"/>
        <v>专业能力课程平台_专业大类课程模块_数学与自然科学类_3</v>
      </c>
      <c r="B70" s="54">
        <f>IFERROR(VLOOKUP(A70,'课程设置与教学进程表（附件2）'!U:V,2,0),"")</f>
        <v>42</v>
      </c>
      <c r="C70" s="55" t="s">
        <v>43</v>
      </c>
      <c r="D70" s="55" t="s">
        <v>42</v>
      </c>
      <c r="E70" s="55" t="s">
        <v>20</v>
      </c>
      <c r="F70" s="56">
        <v>3</v>
      </c>
      <c r="G70" s="55" t="s">
        <v>238</v>
      </c>
      <c r="H70" s="62" t="s">
        <v>239</v>
      </c>
      <c r="I70" s="62" t="s">
        <v>240</v>
      </c>
      <c r="J70" s="66" t="s">
        <v>47</v>
      </c>
      <c r="K70" s="66" t="s">
        <v>51</v>
      </c>
      <c r="L70" s="66">
        <v>2</v>
      </c>
      <c r="M70" s="66">
        <v>32</v>
      </c>
      <c r="N70" s="66">
        <v>32</v>
      </c>
      <c r="O70" s="66">
        <v>0</v>
      </c>
      <c r="P70" s="66">
        <v>3</v>
      </c>
      <c r="Q70" s="66">
        <v>2</v>
      </c>
    </row>
    <row r="71" spans="1:17" x14ac:dyDescent="0.3">
      <c r="A71" s="53" t="str">
        <f t="shared" si="1"/>
        <v>专业能力课程平台_专业大类课程模块_数学与自然科学类_4</v>
      </c>
      <c r="B71" s="54">
        <f>IFERROR(VLOOKUP(A71,'课程设置与教学进程表（附件2）'!U:V,2,0),"")</f>
        <v>43</v>
      </c>
      <c r="C71" s="55" t="s">
        <v>43</v>
      </c>
      <c r="D71" s="55" t="s">
        <v>42</v>
      </c>
      <c r="E71" s="55" t="s">
        <v>20</v>
      </c>
      <c r="F71" s="56">
        <v>4</v>
      </c>
      <c r="G71" s="55" t="s">
        <v>241</v>
      </c>
      <c r="H71" s="62" t="s">
        <v>242</v>
      </c>
      <c r="I71" s="62" t="s">
        <v>243</v>
      </c>
      <c r="J71" s="66" t="s">
        <v>47</v>
      </c>
      <c r="K71" s="66" t="s">
        <v>51</v>
      </c>
      <c r="L71" s="66">
        <v>2</v>
      </c>
      <c r="M71" s="66">
        <v>32</v>
      </c>
      <c r="N71" s="66">
        <v>32</v>
      </c>
      <c r="O71" s="66">
        <v>0</v>
      </c>
      <c r="P71" s="66">
        <v>5</v>
      </c>
      <c r="Q71" s="66">
        <v>2</v>
      </c>
    </row>
    <row r="72" spans="1:17" x14ac:dyDescent="0.3">
      <c r="A72" s="53" t="str">
        <f t="shared" si="1"/>
        <v>专业能力课程平台_专业大类课程模块_数学与自然科学类_5</v>
      </c>
      <c r="B72" s="54">
        <f>IFERROR(VLOOKUP(A72,'课程设置与教学进程表（附件2）'!U:V,2,0),"")</f>
        <v>44</v>
      </c>
      <c r="C72" s="55" t="s">
        <v>43</v>
      </c>
      <c r="D72" s="55" t="s">
        <v>42</v>
      </c>
      <c r="E72" s="55" t="s">
        <v>20</v>
      </c>
      <c r="F72" s="56">
        <v>5</v>
      </c>
      <c r="G72" s="55" t="s">
        <v>244</v>
      </c>
      <c r="H72" s="62" t="s">
        <v>245</v>
      </c>
      <c r="I72" s="62" t="s">
        <v>246</v>
      </c>
      <c r="J72" s="66" t="s">
        <v>47</v>
      </c>
      <c r="K72" s="66" t="s">
        <v>48</v>
      </c>
      <c r="L72" s="66">
        <v>4</v>
      </c>
      <c r="M72" s="66">
        <v>64</v>
      </c>
      <c r="N72" s="66">
        <v>64</v>
      </c>
      <c r="O72" s="66">
        <v>0</v>
      </c>
      <c r="P72" s="66">
        <v>2</v>
      </c>
      <c r="Q72" s="66">
        <v>4</v>
      </c>
    </row>
    <row r="73" spans="1:17" x14ac:dyDescent="0.3">
      <c r="A73" s="53" t="str">
        <f t="shared" si="1"/>
        <v>专业能力课程平台_专业大类课程模块_数学与自然科学类_6</v>
      </c>
      <c r="B73" s="54">
        <f>IFERROR(VLOOKUP(A73,'课程设置与教学进程表（附件2）'!U:V,2,0),"")</f>
        <v>45</v>
      </c>
      <c r="C73" s="55" t="s">
        <v>43</v>
      </c>
      <c r="D73" s="55" t="s">
        <v>42</v>
      </c>
      <c r="E73" s="55" t="s">
        <v>20</v>
      </c>
      <c r="F73" s="56">
        <v>6</v>
      </c>
      <c r="G73" s="55" t="s">
        <v>247</v>
      </c>
      <c r="H73" s="62" t="s">
        <v>248</v>
      </c>
      <c r="I73" s="62" t="s">
        <v>249</v>
      </c>
      <c r="J73" s="66" t="s">
        <v>47</v>
      </c>
      <c r="K73" s="66" t="s">
        <v>48</v>
      </c>
      <c r="L73" s="66">
        <v>3</v>
      </c>
      <c r="M73" s="66">
        <v>48</v>
      </c>
      <c r="N73" s="66">
        <v>48</v>
      </c>
      <c r="O73" s="66">
        <v>0</v>
      </c>
      <c r="P73" s="66">
        <v>3</v>
      </c>
      <c r="Q73" s="66">
        <v>3</v>
      </c>
    </row>
    <row r="74" spans="1:17" x14ac:dyDescent="0.3">
      <c r="A74" s="53" t="str">
        <f t="shared" si="1"/>
        <v>专业能力课程平台_专业大类课程模块_数学与自然科学类_7</v>
      </c>
      <c r="B74" s="54">
        <f>IFERROR(VLOOKUP(A74,'课程设置与教学进程表（附件2）'!U:V,2,0),"")</f>
        <v>46</v>
      </c>
      <c r="C74" s="55" t="s">
        <v>43</v>
      </c>
      <c r="D74" s="55" t="s">
        <v>42</v>
      </c>
      <c r="E74" s="55" t="s">
        <v>20</v>
      </c>
      <c r="F74" s="56">
        <v>7</v>
      </c>
      <c r="G74" s="55" t="s">
        <v>250</v>
      </c>
      <c r="H74" s="62" t="s">
        <v>251</v>
      </c>
      <c r="I74" s="62" t="s">
        <v>252</v>
      </c>
      <c r="J74" s="66" t="s">
        <v>47</v>
      </c>
      <c r="K74" s="66" t="s">
        <v>51</v>
      </c>
      <c r="L74" s="66">
        <v>0.5</v>
      </c>
      <c r="M74" s="66">
        <v>16</v>
      </c>
      <c r="N74" s="66">
        <v>0</v>
      </c>
      <c r="O74" s="66">
        <v>16</v>
      </c>
      <c r="P74" s="66">
        <v>2</v>
      </c>
      <c r="Q74" s="66">
        <v>0.5</v>
      </c>
    </row>
    <row r="75" spans="1:17" x14ac:dyDescent="0.3">
      <c r="A75" s="53" t="str">
        <f t="shared" si="1"/>
        <v>专业能力课程平台_专业大类课程模块_数学与自然科学类_8</v>
      </c>
      <c r="B75" s="54">
        <f>IFERROR(VLOOKUP(A75,'课程设置与教学进程表（附件2）'!U:V,2,0),"")</f>
        <v>47</v>
      </c>
      <c r="C75" s="55" t="s">
        <v>43</v>
      </c>
      <c r="D75" s="55" t="s">
        <v>42</v>
      </c>
      <c r="E75" s="55" t="s">
        <v>20</v>
      </c>
      <c r="F75" s="56">
        <v>8</v>
      </c>
      <c r="G75" s="55" t="s">
        <v>413</v>
      </c>
      <c r="H75" s="62" t="s">
        <v>253</v>
      </c>
      <c r="I75" s="62" t="s">
        <v>254</v>
      </c>
      <c r="J75" s="66" t="s">
        <v>47</v>
      </c>
      <c r="K75" s="66" t="s">
        <v>51</v>
      </c>
      <c r="L75" s="66">
        <v>0.5</v>
      </c>
      <c r="M75" s="66">
        <v>16</v>
      </c>
      <c r="N75" s="66">
        <v>0</v>
      </c>
      <c r="O75" s="66">
        <v>16</v>
      </c>
      <c r="P75" s="66">
        <v>3</v>
      </c>
      <c r="Q75" s="66">
        <v>0.5</v>
      </c>
    </row>
    <row r="76" spans="1:17" ht="14" x14ac:dyDescent="0.3">
      <c r="A76" s="53" t="str">
        <f t="shared" si="1"/>
        <v>专业能力课程平台_专业大类课程模块_数学与自然科学类_9</v>
      </c>
      <c r="B76" s="54">
        <f>IFERROR(VLOOKUP(A76,'课程设置与教学进程表（附件2）'!U:V,2,0),"")</f>
        <v>48</v>
      </c>
      <c r="C76" s="55" t="s">
        <v>43</v>
      </c>
      <c r="D76" s="55" t="s">
        <v>42</v>
      </c>
      <c r="E76" s="55" t="s">
        <v>20</v>
      </c>
      <c r="F76" s="56">
        <v>9</v>
      </c>
      <c r="G76" s="1" t="s">
        <v>255</v>
      </c>
      <c r="H76" s="62" t="s">
        <v>410</v>
      </c>
      <c r="I76" s="62" t="s">
        <v>414</v>
      </c>
      <c r="J76" s="66" t="s">
        <v>47</v>
      </c>
      <c r="K76" s="66" t="s">
        <v>51</v>
      </c>
      <c r="L76" s="66">
        <v>3</v>
      </c>
      <c r="M76" s="66">
        <v>48</v>
      </c>
      <c r="N76" s="66">
        <v>48</v>
      </c>
      <c r="O76" s="66">
        <v>0</v>
      </c>
      <c r="P76" s="66">
        <v>5</v>
      </c>
      <c r="Q76" s="66">
        <v>3</v>
      </c>
    </row>
    <row r="77" spans="1:17" x14ac:dyDescent="0.3">
      <c r="A77" s="53" t="str">
        <f t="shared" si="1"/>
        <v>专业能力课程平台_综合实践环节_1</v>
      </c>
      <c r="B77" s="54">
        <f>IFERROR(VLOOKUP(A77,'课程设置与教学进程表（附件2）'!U:V,2,0),"")</f>
        <v>80</v>
      </c>
      <c r="C77" s="55" t="s">
        <v>43</v>
      </c>
      <c r="D77" s="55" t="s">
        <v>56</v>
      </c>
      <c r="F77" s="56">
        <v>1</v>
      </c>
      <c r="G77" s="55" t="s">
        <v>411</v>
      </c>
      <c r="H77" s="62" t="s">
        <v>412</v>
      </c>
      <c r="I77" s="62" t="s">
        <v>256</v>
      </c>
      <c r="J77" s="66" t="s">
        <v>47</v>
      </c>
      <c r="K77" s="66" t="s">
        <v>51</v>
      </c>
      <c r="L77" s="66">
        <v>1</v>
      </c>
      <c r="M77" s="66">
        <v>20</v>
      </c>
      <c r="N77" s="66">
        <v>0</v>
      </c>
      <c r="O77" s="66">
        <v>20</v>
      </c>
      <c r="P77" s="66">
        <v>2</v>
      </c>
      <c r="Q77" s="66">
        <v>1</v>
      </c>
    </row>
    <row r="78" spans="1:17" x14ac:dyDescent="0.3">
      <c r="A78" s="53" t="str">
        <f t="shared" si="1"/>
        <v>专业能力课程平台_综合实践环节_2</v>
      </c>
      <c r="B78" s="54">
        <f>IFERROR(VLOOKUP(A78,'课程设置与教学进程表（附件2）'!U:V,2,0),"")</f>
        <v>81</v>
      </c>
      <c r="C78" s="55" t="s">
        <v>43</v>
      </c>
      <c r="D78" s="55" t="s">
        <v>56</v>
      </c>
      <c r="F78" s="56">
        <v>2</v>
      </c>
      <c r="H78" s="62" t="s">
        <v>257</v>
      </c>
      <c r="I78" s="62" t="s">
        <v>258</v>
      </c>
      <c r="J78" s="66" t="s">
        <v>47</v>
      </c>
      <c r="K78" s="66" t="s">
        <v>51</v>
      </c>
      <c r="L78" s="66">
        <v>2</v>
      </c>
      <c r="M78" s="66">
        <v>40</v>
      </c>
      <c r="N78" s="66">
        <v>0</v>
      </c>
      <c r="O78" s="66">
        <v>40</v>
      </c>
      <c r="P78" s="66">
        <v>2</v>
      </c>
      <c r="Q78" s="66" t="s">
        <v>146</v>
      </c>
    </row>
    <row r="79" spans="1:17" x14ac:dyDescent="0.3">
      <c r="A79" s="53" t="str">
        <f t="shared" si="1"/>
        <v>专业能力课程平台_综合实践环节_3</v>
      </c>
      <c r="B79" s="54">
        <f>IFERROR(VLOOKUP(A79,'课程设置与教学进程表（附件2）'!U:V,2,0),"")</f>
        <v>82</v>
      </c>
      <c r="C79" s="55" t="s">
        <v>43</v>
      </c>
      <c r="D79" s="55" t="s">
        <v>56</v>
      </c>
      <c r="F79" s="56">
        <v>3</v>
      </c>
      <c r="G79" s="55" t="s">
        <v>259</v>
      </c>
      <c r="H79" s="62" t="s">
        <v>260</v>
      </c>
      <c r="I79" s="62" t="s">
        <v>261</v>
      </c>
      <c r="J79" s="66" t="s">
        <v>47</v>
      </c>
      <c r="K79" s="62" t="s">
        <v>51</v>
      </c>
      <c r="L79" s="66">
        <v>1</v>
      </c>
      <c r="M79" s="66">
        <v>32</v>
      </c>
      <c r="N79" s="66">
        <v>0</v>
      </c>
      <c r="O79" s="66">
        <v>32</v>
      </c>
      <c r="P79" s="66">
        <v>3</v>
      </c>
      <c r="Q79" s="66">
        <v>2</v>
      </c>
    </row>
    <row r="80" spans="1:17" x14ac:dyDescent="0.3">
      <c r="A80" s="53" t="str">
        <f t="shared" si="1"/>
        <v>专业能力课程平台_综合实践环节_4</v>
      </c>
      <c r="B80" s="54">
        <f>IFERROR(VLOOKUP(A80,'课程设置与教学进程表（附件2）'!U:V,2,0),"")</f>
        <v>83</v>
      </c>
      <c r="C80" s="55" t="s">
        <v>43</v>
      </c>
      <c r="D80" s="55" t="s">
        <v>56</v>
      </c>
      <c r="F80" s="56">
        <v>4</v>
      </c>
      <c r="G80" s="55" t="s">
        <v>262</v>
      </c>
      <c r="H80" s="62" t="s">
        <v>263</v>
      </c>
      <c r="I80" s="62" t="s">
        <v>264</v>
      </c>
      <c r="J80" s="66" t="s">
        <v>47</v>
      </c>
      <c r="K80" s="66" t="s">
        <v>51</v>
      </c>
      <c r="L80" s="66">
        <v>1</v>
      </c>
      <c r="M80" s="66">
        <v>32</v>
      </c>
      <c r="N80" s="66">
        <v>0</v>
      </c>
      <c r="O80" s="66">
        <v>32</v>
      </c>
      <c r="P80" s="66">
        <v>3</v>
      </c>
      <c r="Q80" s="66">
        <v>2</v>
      </c>
    </row>
    <row r="81" spans="1:22" x14ac:dyDescent="0.3">
      <c r="A81" s="53" t="str">
        <f t="shared" si="1"/>
        <v>专业能力课程平台_综合实践环节_9</v>
      </c>
      <c r="B81" s="54">
        <f>IFERROR(VLOOKUP(A81,'课程设置与教学进程表（附件2）'!U:V,2,0),"")</f>
        <v>88</v>
      </c>
      <c r="C81" s="55" t="s">
        <v>43</v>
      </c>
      <c r="D81" s="55" t="s">
        <v>56</v>
      </c>
      <c r="F81" s="56">
        <v>9</v>
      </c>
      <c r="H81" s="62" t="s">
        <v>424</v>
      </c>
      <c r="I81" s="62" t="s">
        <v>265</v>
      </c>
      <c r="J81" s="66" t="s">
        <v>47</v>
      </c>
      <c r="K81" s="66" t="s">
        <v>51</v>
      </c>
      <c r="L81" s="66">
        <v>2</v>
      </c>
      <c r="M81" s="66">
        <v>40</v>
      </c>
      <c r="N81" s="66">
        <v>0</v>
      </c>
      <c r="O81" s="66">
        <v>40</v>
      </c>
      <c r="P81" s="66">
        <v>7</v>
      </c>
      <c r="Q81" s="66">
        <v>3</v>
      </c>
    </row>
    <row r="82" spans="1:22" x14ac:dyDescent="0.3">
      <c r="A82" s="53" t="str">
        <f t="shared" si="1"/>
        <v>专业能力课程平台_综合实践环节_7</v>
      </c>
      <c r="B82" s="54">
        <f>IFERROR(VLOOKUP(A82,'课程设置与教学进程表（附件2）'!U:V,2,0),"")</f>
        <v>86</v>
      </c>
      <c r="C82" s="55" t="s">
        <v>43</v>
      </c>
      <c r="D82" s="55" t="s">
        <v>56</v>
      </c>
      <c r="F82" s="56">
        <v>7</v>
      </c>
      <c r="H82" s="62" t="s">
        <v>425</v>
      </c>
      <c r="I82" s="62" t="s">
        <v>427</v>
      </c>
      <c r="J82" s="66" t="s">
        <v>47</v>
      </c>
      <c r="K82" s="66" t="s">
        <v>51</v>
      </c>
      <c r="L82" s="66">
        <v>2</v>
      </c>
      <c r="M82" s="66">
        <v>40</v>
      </c>
      <c r="N82" s="66">
        <v>0</v>
      </c>
      <c r="O82" s="66">
        <v>40</v>
      </c>
      <c r="P82" s="66">
        <v>7</v>
      </c>
      <c r="Q82" s="66">
        <v>2</v>
      </c>
    </row>
    <row r="83" spans="1:22" x14ac:dyDescent="0.3">
      <c r="A83" s="53" t="str">
        <f t="shared" si="1"/>
        <v>专业能力课程平台_综合实践环节_6</v>
      </c>
      <c r="B83" s="54">
        <f>IFERROR(VLOOKUP(A83,'课程设置与教学进程表（附件2）'!U:V,2,0),"")</f>
        <v>85</v>
      </c>
      <c r="C83" s="55" t="s">
        <v>43</v>
      </c>
      <c r="D83" s="55" t="s">
        <v>56</v>
      </c>
      <c r="F83" s="56">
        <v>6</v>
      </c>
      <c r="G83" s="55" t="s">
        <v>266</v>
      </c>
      <c r="H83" s="62" t="s">
        <v>267</v>
      </c>
      <c r="I83" s="62" t="s">
        <v>268</v>
      </c>
      <c r="J83" s="66" t="s">
        <v>47</v>
      </c>
      <c r="K83" s="66" t="s">
        <v>51</v>
      </c>
      <c r="L83" s="66">
        <v>1</v>
      </c>
      <c r="M83" s="66">
        <v>32</v>
      </c>
      <c r="N83" s="66">
        <v>0</v>
      </c>
      <c r="O83" s="66">
        <v>32</v>
      </c>
      <c r="P83" s="66">
        <v>4</v>
      </c>
      <c r="Q83" s="66">
        <v>2</v>
      </c>
    </row>
    <row r="84" spans="1:22" x14ac:dyDescent="0.3">
      <c r="A84" s="53" t="str">
        <f t="shared" si="1"/>
        <v>专业能力课程平台_综合实践环节_8</v>
      </c>
      <c r="B84" s="54">
        <f>IFERROR(VLOOKUP(A84,'课程设置与教学进程表（附件2）'!U:V,2,0),"")</f>
        <v>87</v>
      </c>
      <c r="C84" s="55" t="s">
        <v>43</v>
      </c>
      <c r="D84" s="55" t="s">
        <v>56</v>
      </c>
      <c r="F84" s="56">
        <v>8</v>
      </c>
      <c r="G84" s="55" t="s">
        <v>269</v>
      </c>
      <c r="H84" s="62" t="s">
        <v>270</v>
      </c>
      <c r="I84" s="62" t="s">
        <v>271</v>
      </c>
      <c r="J84" s="66" t="s">
        <v>47</v>
      </c>
      <c r="K84" s="66" t="s">
        <v>51</v>
      </c>
      <c r="L84" s="66">
        <v>2</v>
      </c>
      <c r="M84" s="66">
        <v>40</v>
      </c>
      <c r="N84" s="66">
        <v>0</v>
      </c>
      <c r="O84" s="66">
        <v>40</v>
      </c>
      <c r="P84" s="66">
        <v>5</v>
      </c>
      <c r="Q84" s="66" t="s">
        <v>146</v>
      </c>
    </row>
    <row r="85" spans="1:22" x14ac:dyDescent="0.3">
      <c r="A85" s="53" t="str">
        <f t="shared" si="1"/>
        <v>专业能力课程平台_综合实践环节_5</v>
      </c>
      <c r="B85" s="54">
        <f>IFERROR(VLOOKUP(A85,'课程设置与教学进程表（附件2）'!U:V,2,0),"")</f>
        <v>84</v>
      </c>
      <c r="C85" s="55" t="s">
        <v>43</v>
      </c>
      <c r="D85" s="55" t="s">
        <v>56</v>
      </c>
      <c r="F85" s="56">
        <v>5</v>
      </c>
      <c r="G85" s="55" t="s">
        <v>455</v>
      </c>
      <c r="H85" s="55" t="s">
        <v>272</v>
      </c>
      <c r="I85" s="62" t="s">
        <v>273</v>
      </c>
      <c r="J85" s="66" t="s">
        <v>47</v>
      </c>
      <c r="K85" s="62" t="s">
        <v>51</v>
      </c>
      <c r="L85" s="66">
        <v>1</v>
      </c>
      <c r="M85" s="66">
        <v>32</v>
      </c>
      <c r="N85" s="66">
        <v>0</v>
      </c>
      <c r="O85" s="66">
        <v>32</v>
      </c>
      <c r="P85" s="66">
        <v>6</v>
      </c>
      <c r="Q85" s="66">
        <v>2</v>
      </c>
    </row>
    <row r="86" spans="1:22" x14ac:dyDescent="0.3">
      <c r="A86" s="53" t="str">
        <f>IF(IF(E86&lt;&gt;"",C86&amp;"_"&amp;D86&amp;"_"&amp;E86&amp;"_"&amp;F86,C86&amp;"_"&amp;D86&amp;"_"&amp;F86)&lt;&gt;"__",IF(E86&lt;&gt;"",C86&amp;"_"&amp;D86&amp;"_"&amp;E86&amp;"_"&amp;F86,C86&amp;"_"&amp;D86&amp;"_"&amp;F86),"")</f>
        <v>专业能力课程平台_综合实践环节_15</v>
      </c>
      <c r="B86" s="54" t="str">
        <f>IFERROR(VLOOKUP(A86,'课程设置与教学进程表（附件2）'!U:V,2,0),"")</f>
        <v/>
      </c>
      <c r="C86" s="55" t="s">
        <v>440</v>
      </c>
      <c r="D86" s="55" t="s">
        <v>56</v>
      </c>
      <c r="F86" s="56">
        <v>15</v>
      </c>
      <c r="G86" s="55" t="s">
        <v>461</v>
      </c>
      <c r="H86" s="62" t="s">
        <v>453</v>
      </c>
      <c r="I86" s="62" t="s">
        <v>454</v>
      </c>
      <c r="J86" s="66" t="s">
        <v>47</v>
      </c>
      <c r="K86" s="66" t="s">
        <v>51</v>
      </c>
      <c r="L86" s="66">
        <v>1</v>
      </c>
      <c r="M86" s="66">
        <v>32</v>
      </c>
      <c r="N86" s="66">
        <v>0</v>
      </c>
      <c r="O86" s="66">
        <v>32</v>
      </c>
      <c r="P86" s="66">
        <v>4</v>
      </c>
      <c r="Q86" s="66">
        <v>2</v>
      </c>
      <c r="R86" s="55" t="str">
        <f>IFERROR(IF(VLOOKUP(X86,[1]课程清单!D:T,16,0)=$O$4,VLOOKUP(X86,[1]课程清单!D:T,17,0),""),"")</f>
        <v/>
      </c>
      <c r="S86" s="55" t="str">
        <f>IFERROR(IF(VLOOKUP(X86,[1]课程清单!D:T,16,0)=$P$4,VLOOKUP(X86,[1]课程清单!D:T,17,0),""),"")</f>
        <v/>
      </c>
      <c r="T86" s="55" t="str">
        <f>IFERROR(IF(VLOOKUP(X86,[1]课程清单!D:T,16,0)=$Q$4,VLOOKUP(X86,[1]课程清单!D:T,17,0),""),"")</f>
        <v/>
      </c>
      <c r="U86" s="55" t="str">
        <f>IFERROR(IF(VLOOKUP(X86,[1]课程清单!D:T,16,0)=$R$4,VLOOKUP(X86,[1]课程清单!D:T,17,0),""),"")</f>
        <v/>
      </c>
      <c r="V86" s="55" t="str">
        <f>IFERROR(IF(VLOOKUP(X86,[1]课程清单!D:T,16,0)=$S$4,VLOOKUP(X86,[1]课程清单!D:T,17,0),""),"")</f>
        <v/>
      </c>
    </row>
    <row r="87" spans="1:22" x14ac:dyDescent="0.3">
      <c r="A87" s="53" t="str">
        <f t="shared" si="1"/>
        <v>专业能力课程平台_综合实践环节_11</v>
      </c>
      <c r="B87" s="54">
        <f>IFERROR(VLOOKUP(A87,'课程设置与教学进程表（附件2）'!U:V,2,0),"")</f>
        <v>90</v>
      </c>
      <c r="C87" s="55" t="s">
        <v>43</v>
      </c>
      <c r="D87" s="55" t="s">
        <v>56</v>
      </c>
      <c r="F87" s="56">
        <v>11</v>
      </c>
      <c r="H87" s="62" t="s">
        <v>426</v>
      </c>
      <c r="I87" s="62" t="s">
        <v>428</v>
      </c>
      <c r="J87" s="66" t="s">
        <v>47</v>
      </c>
      <c r="K87" s="66" t="s">
        <v>51</v>
      </c>
      <c r="L87" s="66">
        <v>1</v>
      </c>
      <c r="M87" s="66">
        <v>20</v>
      </c>
      <c r="N87" s="66">
        <v>0</v>
      </c>
      <c r="O87" s="66">
        <v>20</v>
      </c>
      <c r="P87" s="66">
        <v>6</v>
      </c>
      <c r="Q87" s="66">
        <v>1</v>
      </c>
    </row>
    <row r="88" spans="1:22" x14ac:dyDescent="0.3">
      <c r="A88" s="53" t="str">
        <f t="shared" si="1"/>
        <v>专业能力课程平台_综合实践环节_12</v>
      </c>
      <c r="B88" s="54">
        <f>IFERROR(VLOOKUP(A88,'课程设置与教学进程表（附件2）'!U:V,2,0),"")</f>
        <v>91</v>
      </c>
      <c r="C88" s="55" t="s">
        <v>43</v>
      </c>
      <c r="D88" s="55" t="s">
        <v>56</v>
      </c>
      <c r="F88" s="56">
        <v>12</v>
      </c>
      <c r="G88" s="55" t="s">
        <v>276</v>
      </c>
      <c r="H88" s="62" t="s">
        <v>277</v>
      </c>
      <c r="I88" s="62" t="s">
        <v>278</v>
      </c>
      <c r="J88" s="66" t="s">
        <v>47</v>
      </c>
      <c r="K88" s="66" t="s">
        <v>51</v>
      </c>
      <c r="L88" s="66">
        <v>3</v>
      </c>
      <c r="M88" s="66">
        <v>60</v>
      </c>
      <c r="N88" s="66">
        <v>0</v>
      </c>
      <c r="O88" s="66">
        <v>60</v>
      </c>
      <c r="P88" s="66">
        <v>4</v>
      </c>
      <c r="Q88" s="66" t="s">
        <v>275</v>
      </c>
    </row>
    <row r="89" spans="1:22" x14ac:dyDescent="0.3">
      <c r="A89" s="53" t="str">
        <f t="shared" si="1"/>
        <v>专业能力课程平台_综合实践环节_13</v>
      </c>
      <c r="B89" s="54">
        <f>IFERROR(VLOOKUP(A89,'课程设置与教学进程表（附件2）'!U:V,2,0),"")</f>
        <v>92</v>
      </c>
      <c r="C89" s="55" t="s">
        <v>43</v>
      </c>
      <c r="D89" s="55" t="s">
        <v>56</v>
      </c>
      <c r="F89" s="56">
        <v>13</v>
      </c>
      <c r="G89" s="55" t="s">
        <v>279</v>
      </c>
      <c r="H89" s="62" t="s">
        <v>280</v>
      </c>
      <c r="I89" s="62" t="s">
        <v>281</v>
      </c>
      <c r="J89" s="66" t="s">
        <v>47</v>
      </c>
      <c r="K89" s="66" t="s">
        <v>51</v>
      </c>
      <c r="L89" s="66">
        <v>3</v>
      </c>
      <c r="M89" s="66">
        <v>60</v>
      </c>
      <c r="N89" s="66">
        <v>0</v>
      </c>
      <c r="O89" s="66">
        <v>60</v>
      </c>
      <c r="P89" s="66">
        <v>7</v>
      </c>
      <c r="Q89" s="66" t="s">
        <v>275</v>
      </c>
    </row>
    <row r="90" spans="1:22" x14ac:dyDescent="0.3">
      <c r="A90" s="53" t="str">
        <f t="shared" si="1"/>
        <v>专业能力课程平台_综合实践环节_14</v>
      </c>
      <c r="B90" s="54">
        <f>IFERROR(VLOOKUP(A90,'课程设置与教学进程表（附件2）'!U:V,2,0),"")</f>
        <v>93</v>
      </c>
      <c r="C90" s="55" t="s">
        <v>43</v>
      </c>
      <c r="D90" s="55" t="s">
        <v>56</v>
      </c>
      <c r="F90" s="56">
        <v>14</v>
      </c>
      <c r="G90" s="55" t="s">
        <v>282</v>
      </c>
      <c r="H90" s="62" t="s">
        <v>283</v>
      </c>
      <c r="I90" s="62" t="s">
        <v>284</v>
      </c>
      <c r="J90" s="66" t="s">
        <v>47</v>
      </c>
      <c r="K90" s="66" t="s">
        <v>51</v>
      </c>
      <c r="L90" s="66">
        <v>10</v>
      </c>
      <c r="M90" s="66">
        <v>300</v>
      </c>
      <c r="N90" s="66">
        <v>0</v>
      </c>
      <c r="O90" s="66">
        <v>300</v>
      </c>
      <c r="P90" s="66">
        <v>8</v>
      </c>
      <c r="Q90" s="66" t="s">
        <v>285</v>
      </c>
    </row>
    <row r="91" spans="1:22" x14ac:dyDescent="0.3">
      <c r="A91" s="53" t="str">
        <f t="shared" si="1"/>
        <v>专业能力课程平台_综合实践环节_10</v>
      </c>
      <c r="B91" s="54">
        <f>IFERROR(VLOOKUP(A91,'课程设置与教学进程表（附件2）'!U:V,2,0),"")</f>
        <v>89</v>
      </c>
      <c r="C91" s="55" t="s">
        <v>43</v>
      </c>
      <c r="D91" s="55" t="s">
        <v>56</v>
      </c>
      <c r="F91" s="56">
        <v>10</v>
      </c>
      <c r="G91" s="55" t="s">
        <v>460</v>
      </c>
      <c r="H91" s="55" t="s">
        <v>286</v>
      </c>
      <c r="I91" s="55" t="s">
        <v>287</v>
      </c>
      <c r="J91" s="66" t="s">
        <v>47</v>
      </c>
      <c r="K91" s="66" t="s">
        <v>51</v>
      </c>
      <c r="L91" s="66">
        <v>1</v>
      </c>
      <c r="M91" s="66">
        <v>20</v>
      </c>
      <c r="N91" s="66">
        <v>0</v>
      </c>
      <c r="O91" s="66">
        <v>20</v>
      </c>
      <c r="P91" s="66">
        <v>4</v>
      </c>
      <c r="Q91" s="66" t="s">
        <v>80</v>
      </c>
    </row>
    <row r="92" spans="1:22" x14ac:dyDescent="0.3">
      <c r="A92" s="53" t="str">
        <f t="shared" si="1"/>
        <v>专业能力课程平台_飞行器设计_必修_3</v>
      </c>
      <c r="B92" s="54">
        <f>IFERROR(VLOOKUP(A92,'课程设置与教学进程表（附件2）'!U:V,2,0),"")</f>
        <v>61</v>
      </c>
      <c r="C92" s="55" t="s">
        <v>43</v>
      </c>
      <c r="D92" s="55" t="s">
        <v>31</v>
      </c>
      <c r="E92" s="55" t="s">
        <v>47</v>
      </c>
      <c r="F92" s="56">
        <v>3</v>
      </c>
      <c r="H92" s="55" t="s">
        <v>288</v>
      </c>
      <c r="I92" s="55" t="s">
        <v>289</v>
      </c>
      <c r="J92" s="66" t="s">
        <v>47</v>
      </c>
      <c r="K92" s="66" t="s">
        <v>48</v>
      </c>
      <c r="L92" s="66">
        <v>2</v>
      </c>
      <c r="M92" s="66">
        <v>32</v>
      </c>
      <c r="N92" s="66">
        <v>0</v>
      </c>
      <c r="O92" s="66">
        <v>32</v>
      </c>
      <c r="P92" s="66">
        <v>4</v>
      </c>
      <c r="Q92" s="66">
        <v>2</v>
      </c>
    </row>
    <row r="93" spans="1:22" x14ac:dyDescent="0.3">
      <c r="A93" s="53" t="str">
        <f t="shared" si="1"/>
        <v>专业能力课程平台_制造自动化与管理_选修_3</v>
      </c>
      <c r="B93" s="54">
        <f>IFERROR(VLOOKUP(A93,'课程设置与教学进程表（附件2）'!U:V,2,0),"")</f>
        <v>79</v>
      </c>
      <c r="C93" s="55" t="s">
        <v>43</v>
      </c>
      <c r="D93" s="55" t="s">
        <v>33</v>
      </c>
      <c r="E93" s="55" t="s">
        <v>50</v>
      </c>
      <c r="F93" s="56">
        <v>3</v>
      </c>
      <c r="H93" s="55" t="s">
        <v>290</v>
      </c>
      <c r="I93" s="55" t="s">
        <v>291</v>
      </c>
      <c r="J93" s="66" t="s">
        <v>50</v>
      </c>
      <c r="K93" s="66" t="s">
        <v>48</v>
      </c>
      <c r="L93" s="66">
        <v>2</v>
      </c>
      <c r="M93" s="66">
        <v>32</v>
      </c>
      <c r="N93" s="66">
        <v>28</v>
      </c>
      <c r="O93" s="66">
        <v>4</v>
      </c>
      <c r="P93" s="66">
        <v>6</v>
      </c>
      <c r="Q93" s="66">
        <v>2</v>
      </c>
    </row>
    <row r="94" spans="1:22" x14ac:dyDescent="0.3">
      <c r="A94" s="53" t="str">
        <f t="shared" si="1"/>
        <v>专业能力课程平台_专业大类课程模块_专业基础类_5</v>
      </c>
      <c r="B94" s="54">
        <f>IFERROR(VLOOKUP(A94,'课程设置与教学进程表（附件2）'!U:V,2,0),"")</f>
        <v>57</v>
      </c>
      <c r="C94" s="55" t="s">
        <v>43</v>
      </c>
      <c r="D94" s="55" t="s">
        <v>42</v>
      </c>
      <c r="E94" s="55" t="s">
        <v>22</v>
      </c>
      <c r="F94" s="56">
        <v>5</v>
      </c>
      <c r="G94" s="55" t="s">
        <v>464</v>
      </c>
      <c r="H94" s="55" t="s">
        <v>463</v>
      </c>
      <c r="I94" s="62" t="s">
        <v>465</v>
      </c>
      <c r="J94" s="66" t="s">
        <v>47</v>
      </c>
      <c r="K94" s="66" t="s">
        <v>51</v>
      </c>
      <c r="L94" s="66">
        <v>1</v>
      </c>
      <c r="M94" s="66">
        <v>32</v>
      </c>
      <c r="N94" s="66">
        <v>0</v>
      </c>
      <c r="O94" s="66">
        <v>32</v>
      </c>
      <c r="P94" s="66">
        <v>2</v>
      </c>
      <c r="Q94" s="66">
        <v>2</v>
      </c>
    </row>
    <row r="95" spans="1:22" x14ac:dyDescent="0.3">
      <c r="A95" s="53" t="str">
        <f t="shared" si="1"/>
        <v>专业能力课程平台_飞行器制造_必修_7</v>
      </c>
      <c r="B95" s="54">
        <f>IFERROR(VLOOKUP(A95,'课程设置与教学进程表（附件2）'!U:V,2,0),"")</f>
        <v>71</v>
      </c>
      <c r="C95" s="55" t="s">
        <v>43</v>
      </c>
      <c r="D95" s="55" t="s">
        <v>32</v>
      </c>
      <c r="E95" s="55" t="s">
        <v>442</v>
      </c>
      <c r="F95" s="56">
        <v>7</v>
      </c>
      <c r="G95" s="69"/>
      <c r="H95" s="55" t="s">
        <v>472</v>
      </c>
      <c r="I95" s="55" t="s">
        <v>423</v>
      </c>
      <c r="J95" s="56" t="s">
        <v>47</v>
      </c>
      <c r="K95" s="56" t="s">
        <v>48</v>
      </c>
      <c r="L95" s="66">
        <v>2</v>
      </c>
      <c r="M95" s="66">
        <v>32</v>
      </c>
      <c r="N95" s="66">
        <v>32</v>
      </c>
      <c r="O95" s="66">
        <v>0</v>
      </c>
      <c r="P95" s="66">
        <v>6</v>
      </c>
      <c r="Q95" s="66">
        <v>2</v>
      </c>
    </row>
    <row r="96" spans="1:22" x14ac:dyDescent="0.3">
      <c r="A96" s="53" t="str">
        <f t="shared" si="1"/>
        <v>专业能力课程平台_飞行器制造_必修_8</v>
      </c>
      <c r="B96" s="54" t="str">
        <f>IFERROR(VLOOKUP(A96,'课程设置与教学进程表（附件2）'!U:V,2,0),"")</f>
        <v/>
      </c>
      <c r="C96" s="55" t="s">
        <v>440</v>
      </c>
      <c r="D96" s="55" t="s">
        <v>32</v>
      </c>
      <c r="E96" s="55" t="s">
        <v>47</v>
      </c>
      <c r="F96" s="56">
        <v>8</v>
      </c>
      <c r="H96" s="55" t="s">
        <v>441</v>
      </c>
      <c r="I96" s="55" t="s">
        <v>443</v>
      </c>
      <c r="J96" s="56" t="s">
        <v>47</v>
      </c>
      <c r="K96" s="56" t="s">
        <v>48</v>
      </c>
      <c r="L96" s="56">
        <v>2</v>
      </c>
      <c r="M96" s="56">
        <v>32</v>
      </c>
      <c r="N96" s="56">
        <v>28</v>
      </c>
      <c r="O96" s="56">
        <v>4</v>
      </c>
      <c r="P96" s="56">
        <v>6</v>
      </c>
      <c r="Q96" s="56">
        <v>1</v>
      </c>
    </row>
    <row r="97" spans="1:17" ht="14" x14ac:dyDescent="0.3">
      <c r="A97" s="53" t="str">
        <f t="shared" si="1"/>
        <v>专业能力课程平台_飞行器制造_选修_2</v>
      </c>
      <c r="B97" s="54">
        <f>IFERROR(VLOOKUP(A97,'课程设置与教学进程表（附件2）'!U:V,2,0),"")</f>
        <v>73</v>
      </c>
      <c r="C97" s="55" t="s">
        <v>43</v>
      </c>
      <c r="D97" s="55" t="s">
        <v>32</v>
      </c>
      <c r="E97" s="55" t="s">
        <v>50</v>
      </c>
      <c r="F97" s="56">
        <v>2</v>
      </c>
      <c r="G97" s="100" t="s">
        <v>444</v>
      </c>
      <c r="H97" s="100" t="s">
        <v>429</v>
      </c>
      <c r="I97" s="55" t="s">
        <v>430</v>
      </c>
      <c r="J97" s="56" t="s">
        <v>50</v>
      </c>
      <c r="K97" s="56" t="s">
        <v>48</v>
      </c>
      <c r="L97" s="56">
        <v>2</v>
      </c>
      <c r="M97" s="56">
        <v>32</v>
      </c>
      <c r="N97" s="56">
        <v>16</v>
      </c>
      <c r="O97" s="56">
        <v>16</v>
      </c>
      <c r="P97" s="56">
        <v>7</v>
      </c>
      <c r="Q97" s="56">
        <v>2</v>
      </c>
    </row>
    <row r="98" spans="1:17" x14ac:dyDescent="0.3">
      <c r="A98" s="53" t="str">
        <f t="shared" si="1"/>
        <v>专业能力课程平台_飞行器制造_</v>
      </c>
      <c r="B98" s="54" t="str">
        <f>IFERROR(VLOOKUP(A98,'课程设置与教学进程表（附件2）'!U:V,2,0),"")</f>
        <v/>
      </c>
      <c r="C98" s="55" t="s">
        <v>43</v>
      </c>
      <c r="D98" s="55" t="s">
        <v>32</v>
      </c>
    </row>
    <row r="99" spans="1:17" x14ac:dyDescent="0.3">
      <c r="A99" s="53" t="str">
        <f>IF(IF(E99&lt;&gt;"",C99&amp;"_"&amp;D99&amp;"_"&amp;E99&amp;"_"&amp;F99,C99&amp;"_"&amp;D99&amp;"_"&amp;F99)&lt;&gt;"__",IF(E99&lt;&gt;"",C99&amp;"_"&amp;D99&amp;"_"&amp;E99&amp;"_"&amp;F99,C99&amp;"_"&amp;D99&amp;"_"&amp;F99),"")</f>
        <v>专业能力课程平台_综合实践环节_15</v>
      </c>
      <c r="B99" s="54" t="str">
        <f>IFERROR(VLOOKUP(A99,'课程设置与教学进程表（附件2）'!U:V,2,0),"")</f>
        <v/>
      </c>
      <c r="C99" s="55" t="s">
        <v>43</v>
      </c>
      <c r="D99" s="55" t="s">
        <v>56</v>
      </c>
      <c r="F99" s="56">
        <v>15</v>
      </c>
    </row>
    <row r="100" spans="1:17" x14ac:dyDescent="0.3">
      <c r="A100" s="53" t="str">
        <f t="shared" si="1"/>
        <v>专业能力课程平台_综合实践环节_16</v>
      </c>
      <c r="B100" s="54" t="str">
        <f>IFERROR(VLOOKUP(A100,'课程设置与教学进程表（附件2）'!U:V,2,0),"")</f>
        <v/>
      </c>
      <c r="C100" s="55" t="s">
        <v>43</v>
      </c>
      <c r="D100" s="55" t="s">
        <v>56</v>
      </c>
      <c r="F100" s="56">
        <v>16</v>
      </c>
      <c r="H100" s="55" t="s">
        <v>458</v>
      </c>
      <c r="I100" s="55" t="s">
        <v>459</v>
      </c>
      <c r="J100" s="56" t="s">
        <v>47</v>
      </c>
      <c r="K100" s="56" t="s">
        <v>51</v>
      </c>
      <c r="L100" s="56">
        <v>2</v>
      </c>
      <c r="M100" s="56">
        <v>40</v>
      </c>
      <c r="N100" s="56">
        <v>0</v>
      </c>
      <c r="O100" s="56">
        <v>40</v>
      </c>
      <c r="P100" s="56">
        <v>6</v>
      </c>
      <c r="Q100" s="56" t="s">
        <v>275</v>
      </c>
    </row>
    <row r="101" spans="1:17" x14ac:dyDescent="0.3">
      <c r="A101" s="53" t="str">
        <f t="shared" si="1"/>
        <v/>
      </c>
      <c r="B101" s="54" t="str">
        <f>IFERROR(VLOOKUP(A101,'课程设置与教学进程表（附件2）'!U:V,2,0),"")</f>
        <v/>
      </c>
    </row>
    <row r="102" spans="1:17" x14ac:dyDescent="0.3">
      <c r="A102" s="53" t="str">
        <f t="shared" si="1"/>
        <v/>
      </c>
      <c r="B102" s="54" t="str">
        <f>IFERROR(VLOOKUP(A102,'课程设置与教学进程表（附件2）'!U:V,2,0),"")</f>
        <v/>
      </c>
    </row>
    <row r="103" spans="1:17" x14ac:dyDescent="0.3">
      <c r="A103" s="53" t="str">
        <f t="shared" si="1"/>
        <v/>
      </c>
      <c r="B103" s="54" t="str">
        <f>IFERROR(VLOOKUP(A103,'课程设置与教学进程表（附件2）'!U:V,2,0),"")</f>
        <v/>
      </c>
    </row>
    <row r="104" spans="1:17" x14ac:dyDescent="0.3">
      <c r="A104" s="53" t="str">
        <f t="shared" si="1"/>
        <v/>
      </c>
      <c r="B104" s="54" t="str">
        <f>IFERROR(VLOOKUP(A104,'课程设置与教学进程表（附件2）'!U:V,2,0),"")</f>
        <v/>
      </c>
    </row>
    <row r="105" spans="1:17" x14ac:dyDescent="0.3">
      <c r="A105" s="53" t="str">
        <f t="shared" si="1"/>
        <v/>
      </c>
      <c r="B105" s="54" t="str">
        <f>IFERROR(VLOOKUP(A105,'课程设置与教学进程表（附件2）'!U:V,2,0),"")</f>
        <v/>
      </c>
    </row>
    <row r="106" spans="1:17" x14ac:dyDescent="0.3">
      <c r="A106" s="53" t="str">
        <f t="shared" si="1"/>
        <v/>
      </c>
      <c r="B106" s="54" t="str">
        <f>IFERROR(VLOOKUP(A106,'课程设置与教学进程表（附件2）'!U:V,2,0),"")</f>
        <v/>
      </c>
    </row>
    <row r="107" spans="1:17" x14ac:dyDescent="0.3">
      <c r="A107" s="53" t="str">
        <f t="shared" si="1"/>
        <v/>
      </c>
      <c r="B107" s="54" t="str">
        <f>IFERROR(VLOOKUP(A107,'课程设置与教学进程表（附件2）'!U:V,2,0),"")</f>
        <v/>
      </c>
    </row>
    <row r="108" spans="1:17" x14ac:dyDescent="0.3">
      <c r="A108" s="53" t="str">
        <f t="shared" si="1"/>
        <v/>
      </c>
      <c r="B108" s="54" t="str">
        <f>IFERROR(VLOOKUP(A108,'课程设置与教学进程表（附件2）'!U:V,2,0),"")</f>
        <v/>
      </c>
    </row>
    <row r="109" spans="1:17" x14ac:dyDescent="0.3">
      <c r="A109" s="53" t="str">
        <f t="shared" si="1"/>
        <v/>
      </c>
      <c r="B109" s="54" t="str">
        <f>IFERROR(VLOOKUP(A109,'课程设置与教学进程表（附件2）'!U:V,2,0),"")</f>
        <v/>
      </c>
    </row>
    <row r="110" spans="1:17" x14ac:dyDescent="0.3">
      <c r="A110" s="53" t="str">
        <f t="shared" si="1"/>
        <v/>
      </c>
      <c r="B110" s="54" t="str">
        <f>IFERROR(VLOOKUP(A110,'课程设置与教学进程表（附件2）'!U:V,2,0),"")</f>
        <v/>
      </c>
    </row>
    <row r="111" spans="1:17" x14ac:dyDescent="0.3">
      <c r="A111" s="53" t="str">
        <f t="shared" si="1"/>
        <v/>
      </c>
      <c r="B111" s="54" t="str">
        <f>IFERROR(VLOOKUP(A111,'课程设置与教学进程表（附件2）'!U:V,2,0),"")</f>
        <v/>
      </c>
    </row>
    <row r="112" spans="1:17" x14ac:dyDescent="0.3">
      <c r="A112" s="53" t="str">
        <f t="shared" si="1"/>
        <v/>
      </c>
      <c r="B112" s="54" t="str">
        <f>IFERROR(VLOOKUP(A112,'课程设置与教学进程表（附件2）'!U:V,2,0),"")</f>
        <v/>
      </c>
    </row>
    <row r="113" spans="1:11" x14ac:dyDescent="0.3">
      <c r="A113" s="53" t="str">
        <f t="shared" si="1"/>
        <v/>
      </c>
      <c r="B113" s="54" t="str">
        <f>IFERROR(VLOOKUP(A113,'课程设置与教学进程表（附件2）'!U:V,2,0),"")</f>
        <v/>
      </c>
    </row>
    <row r="114" spans="1:11" x14ac:dyDescent="0.3">
      <c r="A114" s="53" t="str">
        <f t="shared" si="1"/>
        <v/>
      </c>
      <c r="B114" s="54" t="str">
        <f>IFERROR(VLOOKUP(A114,'课程设置与教学进程表（附件2）'!U:V,2,0),"")</f>
        <v/>
      </c>
    </row>
    <row r="115" spans="1:11" x14ac:dyDescent="0.3">
      <c r="A115" s="53" t="str">
        <f t="shared" si="1"/>
        <v/>
      </c>
      <c r="B115" s="54" t="str">
        <f>IFERROR(VLOOKUP(A115,'课程设置与教学进程表（附件2）'!U:V,2,0),"")</f>
        <v/>
      </c>
    </row>
    <row r="116" spans="1:11" x14ac:dyDescent="0.3">
      <c r="A116" s="53" t="str">
        <f t="shared" si="1"/>
        <v/>
      </c>
      <c r="B116" s="54" t="str">
        <f>IFERROR(VLOOKUP(A116,'课程设置与教学进程表（附件2）'!U:V,2,0),"")</f>
        <v/>
      </c>
    </row>
    <row r="117" spans="1:11" x14ac:dyDescent="0.3">
      <c r="A117" s="53" t="str">
        <f t="shared" si="1"/>
        <v/>
      </c>
      <c r="B117" s="54" t="str">
        <f>IFERROR(VLOOKUP(A117,'课程设置与教学进程表（附件2）'!U:V,2,0),"")</f>
        <v/>
      </c>
    </row>
    <row r="118" spans="1:11" x14ac:dyDescent="0.3">
      <c r="A118" s="53" t="str">
        <f t="shared" si="1"/>
        <v/>
      </c>
      <c r="B118" s="54" t="str">
        <f>IFERROR(VLOOKUP(A118,'课程设置与教学进程表（附件2）'!U:V,2,0),"")</f>
        <v/>
      </c>
    </row>
    <row r="119" spans="1:11" x14ac:dyDescent="0.3">
      <c r="A119" s="53" t="str">
        <f t="shared" si="1"/>
        <v/>
      </c>
      <c r="B119" s="54" t="str">
        <f>IFERROR(VLOOKUP(A119,'课程设置与教学进程表（附件2）'!U:V,2,0),"")</f>
        <v/>
      </c>
    </row>
    <row r="120" spans="1:11" x14ac:dyDescent="0.3">
      <c r="A120" s="53" t="str">
        <f t="shared" si="1"/>
        <v/>
      </c>
      <c r="B120" s="54" t="str">
        <f>IFERROR(VLOOKUP(A120,'课程设置与教学进程表（附件2）'!U:V,2,0),"")</f>
        <v/>
      </c>
    </row>
    <row r="121" spans="1:11" x14ac:dyDescent="0.3">
      <c r="A121" s="53" t="str">
        <f t="shared" si="1"/>
        <v/>
      </c>
      <c r="B121" s="54" t="str">
        <f>IFERROR(VLOOKUP(A121,'课程设置与教学进程表（附件2）'!U:V,2,0),"")</f>
        <v/>
      </c>
    </row>
    <row r="122" spans="1:11" x14ac:dyDescent="0.3">
      <c r="A122" s="53" t="str">
        <f t="shared" si="1"/>
        <v/>
      </c>
      <c r="B122" s="54" t="str">
        <f>IFERROR(VLOOKUP(A122,'课程设置与教学进程表（附件2）'!U:V,2,0),"")</f>
        <v/>
      </c>
    </row>
    <row r="123" spans="1:11" x14ac:dyDescent="0.3">
      <c r="A123" s="53" t="str">
        <f t="shared" si="1"/>
        <v/>
      </c>
      <c r="B123" s="54" t="str">
        <f>IFERROR(VLOOKUP(A123,'课程设置与教学进程表（附件2）'!U:V,2,0),"")</f>
        <v/>
      </c>
    </row>
    <row r="124" spans="1:11" x14ac:dyDescent="0.3">
      <c r="A124" s="53" t="str">
        <f t="shared" si="1"/>
        <v/>
      </c>
      <c r="B124" s="54" t="str">
        <f>IFERROR(VLOOKUP(A124,'课程设置与教学进程表（附件2）'!U:V,2,0),"")</f>
        <v/>
      </c>
    </row>
    <row r="125" spans="1:11" x14ac:dyDescent="0.3">
      <c r="A125" s="53" t="str">
        <f t="shared" si="1"/>
        <v/>
      </c>
      <c r="B125" s="54" t="str">
        <f>IFERROR(VLOOKUP(A125,'课程设置与教学进程表（附件2）'!U:V,2,0),"")</f>
        <v/>
      </c>
    </row>
    <row r="126" spans="1:11" x14ac:dyDescent="0.3">
      <c r="A126" s="53" t="str">
        <f t="shared" si="1"/>
        <v/>
      </c>
      <c r="B126" s="54" t="str">
        <f>IFERROR(VLOOKUP(A126,'课程设置与教学进程表（附件2）'!U:V,2,0),"")</f>
        <v/>
      </c>
    </row>
    <row r="127" spans="1:11" x14ac:dyDescent="0.3">
      <c r="A127" s="53" t="str">
        <f t="shared" si="1"/>
        <v/>
      </c>
      <c r="B127" s="54" t="str">
        <f>IFERROR(VLOOKUP(A127,'课程设置与教学进程表（附件2）'!U:V,2,0),"")</f>
        <v/>
      </c>
    </row>
    <row r="128" spans="1:11" x14ac:dyDescent="0.3">
      <c r="A128" s="53" t="str">
        <f t="shared" si="1"/>
        <v/>
      </c>
      <c r="B128" s="54" t="str">
        <f>IFERROR(VLOOKUP(A128,'课程设置与教学进程表（附件2）'!U:V,2,0),"")</f>
        <v/>
      </c>
      <c r="F128" s="55"/>
      <c r="J128" s="55"/>
      <c r="K128" s="55"/>
    </row>
    <row r="129" spans="1:2" x14ac:dyDescent="0.3">
      <c r="A129" s="53" t="str">
        <f t="shared" ref="A129:A130" si="2">IF(IF(E129&lt;&gt;"",C129&amp;"_"&amp;D129&amp;"_"&amp;E129&amp;"_"&amp;F129,C129&amp;"_"&amp;D129&amp;"_"&amp;F129)&lt;&gt;"__",IF(E129&lt;&gt;"",C129&amp;"_"&amp;D129&amp;"_"&amp;E129&amp;"_"&amp;F129,C129&amp;"_"&amp;D129&amp;"_"&amp;F129),"")</f>
        <v/>
      </c>
      <c r="B129" s="54" t="str">
        <f>IFERROR(VLOOKUP(A129,'课程设置与教学进程表（附件2）'!U:V,2,0),"")</f>
        <v/>
      </c>
    </row>
    <row r="130" spans="1:2" x14ac:dyDescent="0.3">
      <c r="A130" s="53" t="str">
        <f t="shared" si="2"/>
        <v/>
      </c>
      <c r="B130" s="54" t="str">
        <f>IFERROR(VLOOKUP(A130,'课程设置与教学进程表（附件2）'!U:V,2,0),"")</f>
        <v/>
      </c>
    </row>
  </sheetData>
  <sheetProtection algorithmName="SHA-512" hashValue="YbYad7hoqkCD+w1Xb9fouLKNJzQHS5tyG0vTmwEangLe0dMoYUDuWoaiXpd1azbPvbpFvtdOab4FwdIPThW61g==" saltValue="CsmvQ9cFLrqRiOD5J2CDdw==" spinCount="100000" sheet="1" formatColumns="0" selectLockedCells="1"/>
  <autoFilter ref="A1:Q130" xr:uid="{00000000-0009-0000-0000-000004000000}"/>
  <dataConsolidate/>
  <phoneticPr fontId="30" type="noConversion"/>
  <conditionalFormatting sqref="A2:A1048576">
    <cfRule type="duplicateValues" dxfId="23" priority="11"/>
  </conditionalFormatting>
  <conditionalFormatting sqref="H1">
    <cfRule type="duplicateValues" dxfId="22" priority="12"/>
  </conditionalFormatting>
  <conditionalFormatting sqref="L1:N1">
    <cfRule type="expression" dxfId="21" priority="16">
      <formula>($G1=" ")</formula>
    </cfRule>
  </conditionalFormatting>
  <conditionalFormatting sqref="M1">
    <cfRule type="cellIs" dxfId="20" priority="14" operator="notEqual">
      <formula>$N1+$O1</formula>
    </cfRule>
  </conditionalFormatting>
  <conditionalFormatting sqref="M1:M40 M67 M96:M127 M129:M1048576">
    <cfRule type="cellIs" dxfId="19" priority="10" operator="notEqual">
      <formula>$N1+$O1</formula>
    </cfRule>
  </conditionalFormatting>
  <conditionalFormatting sqref="M59">
    <cfRule type="cellIs" dxfId="18" priority="6" operator="notEqual">
      <formula>$N59+$O59</formula>
    </cfRule>
  </conditionalFormatting>
  <conditionalFormatting sqref="N1">
    <cfRule type="cellIs" dxfId="17" priority="15" operator="equal">
      <formula>0</formula>
    </cfRule>
  </conditionalFormatting>
  <dataValidations count="3">
    <dataValidation allowBlank="1" showInputMessage="1" showErrorMessage="1" sqref="L1 N1:O1" xr:uid="{00000000-0002-0000-0400-000000000000}"/>
    <dataValidation type="whole" allowBlank="1" showInputMessage="1" showErrorMessage="1" sqref="M1" xr:uid="{00000000-0002-0000-0400-000001000000}">
      <formula1>0</formula1>
      <formula2>300</formula2>
    </dataValidation>
    <dataValidation type="list" allowBlank="1" showInputMessage="1" showErrorMessage="1" sqref="D2:E127 D129:E1048576" xr:uid="{00000000-0002-0000-0400-000005000000}">
      <formula1>INDIRECT(C2)</formula1>
    </dataValidation>
  </dataValidations>
  <pageMargins left="0.7" right="0.7" top="0.75" bottom="0.75" header="0.3" footer="0.3"/>
  <pageSetup paperSize="9" scale="93" orientation="landscape" r:id="rId1"/>
  <ignoredErrors>
    <ignoredError sqref="Q27 Q4 Q7"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2000000}">
          <x14:formula1>
            <xm:f>参数!$E$2:$E$4</xm:f>
          </x14:formula1>
          <xm:sqref>J59 J67 J2:J40 J91:J127 J129:J1048576</xm:sqref>
        </x14:dataValidation>
        <x14:dataValidation type="list" allowBlank="1" showInputMessage="1" showErrorMessage="1" xr:uid="{00000000-0002-0000-0400-000003000000}">
          <x14:formula1>
            <xm:f>参数!$F$2:$F$3</xm:f>
          </x14:formula1>
          <xm:sqref>K59 K67 K2:K40 K91:K127 K129:K1048576</xm:sqref>
        </x14:dataValidation>
        <x14:dataValidation type="list" allowBlank="1" showInputMessage="1" showErrorMessage="1" xr:uid="{00000000-0002-0000-0400-000004000000}">
          <x14:formula1>
            <xm:f>参数!$A$2:$A$3</xm:f>
          </x14:formula1>
          <xm:sqref>C2:C127 C129:C1048576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_Statistical">
    <pageSetUpPr fitToPage="1"/>
  </sheetPr>
  <dimension ref="A1:J45"/>
  <sheetViews>
    <sheetView topLeftCell="A19" zoomScale="57" zoomScaleNormal="57" zoomScaleSheetLayoutView="100" workbookViewId="0">
      <selection activeCell="J30" sqref="J30"/>
    </sheetView>
  </sheetViews>
  <sheetFormatPr defaultColWidth="9" defaultRowHeight="20.25" customHeight="1" x14ac:dyDescent="0.3"/>
  <cols>
    <col min="1" max="1" width="11.33203125" style="35" customWidth="1"/>
    <col min="2" max="2" width="9.83203125" style="35" customWidth="1"/>
    <col min="3" max="3" width="15.58203125" style="35" customWidth="1"/>
    <col min="4" max="9" width="8.58203125" style="35" customWidth="1"/>
    <col min="10" max="10" width="13.08203125" style="35" customWidth="1"/>
    <col min="11" max="16384" width="9" style="35"/>
  </cols>
  <sheetData>
    <row r="1" spans="1:10" ht="32.25" customHeight="1" x14ac:dyDescent="0.3">
      <c r="A1" s="163" t="s">
        <v>293</v>
      </c>
      <c r="B1" s="163"/>
      <c r="C1" s="164"/>
      <c r="D1" s="164"/>
      <c r="E1" s="164"/>
      <c r="F1" s="164"/>
      <c r="G1" s="164"/>
    </row>
    <row r="2" spans="1:10" ht="20.25" customHeight="1" x14ac:dyDescent="0.3">
      <c r="A2" s="151" t="s">
        <v>294</v>
      </c>
      <c r="B2" s="151"/>
      <c r="C2" s="152"/>
      <c r="D2" s="152"/>
      <c r="E2" s="154"/>
      <c r="F2" s="154"/>
      <c r="G2" s="154"/>
    </row>
    <row r="3" spans="1:10" ht="20.25" customHeight="1" x14ac:dyDescent="0.3">
      <c r="A3" s="36" t="s">
        <v>40</v>
      </c>
      <c r="B3" s="147" t="s">
        <v>64</v>
      </c>
      <c r="C3" s="160"/>
      <c r="D3" s="36" t="s">
        <v>18</v>
      </c>
      <c r="E3" s="36" t="s">
        <v>295</v>
      </c>
      <c r="F3" s="36" t="s">
        <v>19</v>
      </c>
      <c r="G3" s="36" t="s">
        <v>295</v>
      </c>
    </row>
    <row r="4" spans="1:10" ht="20.25" customHeight="1" x14ac:dyDescent="0.3">
      <c r="A4" s="139" t="s">
        <v>296</v>
      </c>
      <c r="B4" s="147" t="s">
        <v>46</v>
      </c>
      <c r="C4" s="160" t="s">
        <v>297</v>
      </c>
      <c r="D4" s="36">
        <f>'课程设置与教学进程表（附件2）'!H20</f>
        <v>17</v>
      </c>
      <c r="E4" s="38">
        <f t="shared" ref="E4:E13" ca="1" si="0">IFERROR(D4/$D$24,0)</f>
        <v>0.1</v>
      </c>
      <c r="F4" s="36">
        <f>'课程设置与教学进程表（附件2）'!I20</f>
        <v>280</v>
      </c>
      <c r="G4" s="38">
        <f t="shared" ref="G4:G13" ca="1" si="1">IFERROR(F4/$F$24,0)</f>
        <v>8.9743589743589744E-2</v>
      </c>
    </row>
    <row r="5" spans="1:10" ht="20.25" customHeight="1" x14ac:dyDescent="0.3">
      <c r="A5" s="140"/>
      <c r="B5" s="156" t="s">
        <v>49</v>
      </c>
      <c r="C5" s="158"/>
      <c r="D5" s="36">
        <f>'课程设置与教学进程表（附件2）'!H26</f>
        <v>10</v>
      </c>
      <c r="E5" s="38">
        <f t="shared" ca="1" si="0"/>
        <v>5.8823529411764705E-2</v>
      </c>
      <c r="F5" s="36">
        <f>'课程设置与教学进程表（附件2）'!I26</f>
        <v>160</v>
      </c>
      <c r="G5" s="38">
        <f t="shared" ca="1" si="1"/>
        <v>5.128205128205128E-2</v>
      </c>
    </row>
    <row r="6" spans="1:10" ht="20.25" customHeight="1" x14ac:dyDescent="0.3">
      <c r="A6" s="140"/>
      <c r="B6" s="156" t="s">
        <v>52</v>
      </c>
      <c r="C6" s="158"/>
      <c r="D6" s="36">
        <f>'课程设置与教学进程表（附件2）'!H33</f>
        <v>8</v>
      </c>
      <c r="E6" s="38">
        <f t="shared" ca="1" si="0"/>
        <v>4.7058823529411764E-2</v>
      </c>
      <c r="F6" s="36">
        <f>'课程设置与教学进程表（附件2）'!I33</f>
        <v>200</v>
      </c>
      <c r="G6" s="38">
        <f t="shared" ca="1" si="1"/>
        <v>6.4102564102564097E-2</v>
      </c>
    </row>
    <row r="7" spans="1:10" ht="20.25" customHeight="1" x14ac:dyDescent="0.3">
      <c r="A7" s="140"/>
      <c r="B7" s="156" t="s">
        <v>54</v>
      </c>
      <c r="C7" s="158"/>
      <c r="D7" s="36">
        <f>'课程设置与教学进程表（附件2）'!H35</f>
        <v>1</v>
      </c>
      <c r="E7" s="38">
        <f t="shared" ca="1" si="0"/>
        <v>5.8823529411764705E-3</v>
      </c>
      <c r="F7" s="36">
        <f>'课程设置与教学进程表（附件2）'!I35</f>
        <v>32</v>
      </c>
      <c r="G7" s="38">
        <f t="shared" ca="1" si="1"/>
        <v>1.0256410256410256E-2</v>
      </c>
    </row>
    <row r="8" spans="1:10" ht="20.25" customHeight="1" x14ac:dyDescent="0.3">
      <c r="A8" s="140"/>
      <c r="B8" s="156" t="s">
        <v>55</v>
      </c>
      <c r="C8" s="158"/>
      <c r="D8" s="36">
        <f>'课程设置与教学进程表（附件2）'!H38</f>
        <v>2</v>
      </c>
      <c r="E8" s="38">
        <f t="shared" ca="1" si="0"/>
        <v>1.1764705882352941E-2</v>
      </c>
      <c r="F8" s="36">
        <f>'课程设置与教学进程表（附件2）'!I38</f>
        <v>48</v>
      </c>
      <c r="G8" s="38">
        <f t="shared" ca="1" si="1"/>
        <v>1.5384615384615385E-2</v>
      </c>
    </row>
    <row r="9" spans="1:10" ht="20.25" customHeight="1" x14ac:dyDescent="0.3">
      <c r="A9" s="140"/>
      <c r="B9" s="156" t="s">
        <v>57</v>
      </c>
      <c r="C9" s="158"/>
      <c r="D9" s="36">
        <f>'课程设置与教学进程表（附件2）'!H41</f>
        <v>2</v>
      </c>
      <c r="E9" s="38">
        <f t="shared" ca="1" si="0"/>
        <v>1.1764705882352941E-2</v>
      </c>
      <c r="F9" s="36">
        <f>'课程设置与教学进程表（附件2）'!I41</f>
        <v>48</v>
      </c>
      <c r="G9" s="38">
        <f t="shared" ca="1" si="1"/>
        <v>1.5384615384615385E-2</v>
      </c>
    </row>
    <row r="10" spans="1:10" ht="20.25" customHeight="1" x14ac:dyDescent="0.3">
      <c r="A10" s="140"/>
      <c r="B10" s="156" t="s">
        <v>58</v>
      </c>
      <c r="C10" s="158"/>
      <c r="D10" s="36">
        <f>'课程设置与教学进程表（附件2）'!H43</f>
        <v>2</v>
      </c>
      <c r="E10" s="38">
        <f t="shared" ca="1" si="0"/>
        <v>1.1764705882352941E-2</v>
      </c>
      <c r="F10" s="36">
        <f>'课程设置与教学进程表（附件2）'!I43</f>
        <v>32</v>
      </c>
      <c r="G10" s="38">
        <f t="shared" ca="1" si="1"/>
        <v>1.0256410256410256E-2</v>
      </c>
    </row>
    <row r="11" spans="1:10" ht="20.25" customHeight="1" x14ac:dyDescent="0.3">
      <c r="A11" s="140"/>
      <c r="B11" s="147" t="s">
        <v>59</v>
      </c>
      <c r="C11" s="160" t="s">
        <v>298</v>
      </c>
      <c r="D11" s="36">
        <f>'课程设置与教学进程表（附件2）'!H47</f>
        <v>3</v>
      </c>
      <c r="E11" s="38">
        <f t="shared" ca="1" si="0"/>
        <v>1.7647058823529412E-2</v>
      </c>
      <c r="F11" s="36">
        <f>'课程设置与教学进程表（附件2）'!I47</f>
        <v>48</v>
      </c>
      <c r="G11" s="38">
        <f t="shared" ca="1" si="1"/>
        <v>1.5384615384615385E-2</v>
      </c>
    </row>
    <row r="12" spans="1:10" ht="20.25" customHeight="1" x14ac:dyDescent="0.3">
      <c r="A12" s="140"/>
      <c r="B12" s="156" t="s">
        <v>60</v>
      </c>
      <c r="C12" s="158"/>
      <c r="D12" s="36">
        <f>'课程设置与教学进程表（附件2）'!H49</f>
        <v>1</v>
      </c>
      <c r="E12" s="38">
        <f t="shared" ca="1" si="0"/>
        <v>5.8823529411764705E-3</v>
      </c>
      <c r="F12" s="36">
        <f>'课程设置与教学进程表（附件2）'!I49</f>
        <v>32</v>
      </c>
      <c r="G12" s="38">
        <f t="shared" ca="1" si="1"/>
        <v>1.0256410256410256E-2</v>
      </c>
    </row>
    <row r="13" spans="1:10" ht="20.25" customHeight="1" x14ac:dyDescent="0.3">
      <c r="A13" s="140"/>
      <c r="B13" s="147" t="s">
        <v>299</v>
      </c>
      <c r="C13" s="160" t="s">
        <v>300</v>
      </c>
      <c r="D13" s="36">
        <f>'课程设置与教学进程表（附件2）'!H53</f>
        <v>8</v>
      </c>
      <c r="E13" s="38">
        <f t="shared" ca="1" si="0"/>
        <v>4.7058823529411764E-2</v>
      </c>
      <c r="F13" s="36">
        <f>'课程设置与教学进程表（附件2）'!I53</f>
        <v>128</v>
      </c>
      <c r="G13" s="38">
        <f t="shared" ca="1" si="1"/>
        <v>4.1025641025641026E-2</v>
      </c>
    </row>
    <row r="14" spans="1:10" ht="20.25" customHeight="1" x14ac:dyDescent="0.3">
      <c r="A14" s="141"/>
      <c r="B14" s="155" t="s">
        <v>301</v>
      </c>
      <c r="C14" s="159" t="s">
        <v>301</v>
      </c>
      <c r="D14" s="39">
        <f>SUM(D4:D13)</f>
        <v>54</v>
      </c>
      <c r="E14" s="40">
        <f ca="1">SUM(E4:E13)</f>
        <v>0.31764705882352939</v>
      </c>
      <c r="F14" s="39">
        <f>SUM(F4:F13)</f>
        <v>1008</v>
      </c>
      <c r="G14" s="40">
        <f ca="1">SUM(G4:G13)</f>
        <v>0.32307692307692309</v>
      </c>
    </row>
    <row r="15" spans="1:10" ht="20.25" customHeight="1" x14ac:dyDescent="0.3">
      <c r="A15" s="139" t="s">
        <v>415</v>
      </c>
      <c r="B15" s="145" t="s">
        <v>42</v>
      </c>
      <c r="C15" s="36" t="s">
        <v>20</v>
      </c>
      <c r="D15" s="36">
        <f ca="1">数据定义!D6</f>
        <v>27.5</v>
      </c>
      <c r="E15" s="38">
        <f t="shared" ref="E15:E22" ca="1" si="2">IFERROR(D15/$D$24,0)</f>
        <v>0.16176470588235295</v>
      </c>
      <c r="F15" s="36">
        <f ca="1">数据定义!E6</f>
        <v>456</v>
      </c>
      <c r="G15" s="38">
        <f t="shared" ref="G15:G22" ca="1" si="3">IFERROR(F15/$F$24,0)</f>
        <v>0.14615384615384616</v>
      </c>
      <c r="J15" s="46"/>
    </row>
    <row r="16" spans="1:10" ht="20.25" customHeight="1" x14ac:dyDescent="0.3">
      <c r="A16" s="140"/>
      <c r="B16" s="146"/>
      <c r="C16" s="36" t="s">
        <v>21</v>
      </c>
      <c r="D16" s="36">
        <f ca="1">数据定义!D7</f>
        <v>7.5</v>
      </c>
      <c r="E16" s="41">
        <f t="shared" ca="1" si="2"/>
        <v>4.4117647058823532E-2</v>
      </c>
      <c r="F16" s="36">
        <f ca="1">数据定义!E7</f>
        <v>120</v>
      </c>
      <c r="G16" s="41">
        <f t="shared" ca="1" si="3"/>
        <v>3.8461538461538464E-2</v>
      </c>
    </row>
    <row r="17" spans="1:9" ht="20.25" customHeight="1" x14ac:dyDescent="0.3">
      <c r="A17" s="140"/>
      <c r="B17" s="146"/>
      <c r="C17" s="36" t="s">
        <v>22</v>
      </c>
      <c r="D17" s="36">
        <f ca="1">数据定义!D8</f>
        <v>14.5</v>
      </c>
      <c r="E17" s="41">
        <f t="shared" ca="1" si="2"/>
        <v>8.5294117647058826E-2</v>
      </c>
      <c r="F17" s="36">
        <f ca="1">数据定义!E8</f>
        <v>248</v>
      </c>
      <c r="G17" s="41">
        <f t="shared" ca="1" si="3"/>
        <v>7.9487179487179482E-2</v>
      </c>
    </row>
    <row r="18" spans="1:9" ht="20.25" customHeight="1" x14ac:dyDescent="0.3">
      <c r="A18" s="140"/>
      <c r="B18" s="156" t="str">
        <f>数据定义!B14</f>
        <v>机械制造基础</v>
      </c>
      <c r="C18" s="162"/>
      <c r="D18" s="36">
        <f>'课程设置与教学进程表（附件2）'!H78</f>
        <v>9</v>
      </c>
      <c r="E18" s="41">
        <f t="shared" ca="1" si="2"/>
        <v>5.2941176470588235E-2</v>
      </c>
      <c r="F18" s="36">
        <f>'课程设置与教学进程表（附件2）'!I78</f>
        <v>144</v>
      </c>
      <c r="G18" s="41">
        <f t="shared" ca="1" si="3"/>
        <v>4.6153846153846156E-2</v>
      </c>
    </row>
    <row r="19" spans="1:9" ht="20.25" customHeight="1" x14ac:dyDescent="0.3">
      <c r="A19" s="140"/>
      <c r="B19" s="156" t="str">
        <f>数据定义!B15</f>
        <v>飞行器制造</v>
      </c>
      <c r="C19" s="158"/>
      <c r="D19" s="36">
        <f>'课程设置与教学进程表（附件2）'!H90</f>
        <v>13</v>
      </c>
      <c r="E19" s="41">
        <f t="shared" ca="1" si="2"/>
        <v>7.6470588235294124E-2</v>
      </c>
      <c r="F19" s="36">
        <f>'课程设置与教学进程表（附件2）'!I90</f>
        <v>208</v>
      </c>
      <c r="G19" s="41">
        <f t="shared" ca="1" si="3"/>
        <v>6.6666666666666666E-2</v>
      </c>
    </row>
    <row r="20" spans="1:9" ht="20.25" customHeight="1" x14ac:dyDescent="0.3">
      <c r="A20" s="140"/>
      <c r="B20" s="156" t="str">
        <f>数据定义!B16</f>
        <v>制造自动化与管理</v>
      </c>
      <c r="C20" s="158"/>
      <c r="D20" s="36">
        <f>'课程设置与教学进程表（附件2）'!H97</f>
        <v>5.5</v>
      </c>
      <c r="E20" s="41">
        <f t="shared" ca="1" si="2"/>
        <v>3.2352941176470591E-2</v>
      </c>
      <c r="F20" s="36">
        <f>'课程设置与教学进程表（附件2）'!I97</f>
        <v>88</v>
      </c>
      <c r="G20" s="41">
        <f t="shared" ca="1" si="3"/>
        <v>2.8205128205128206E-2</v>
      </c>
    </row>
    <row r="21" spans="1:9" ht="20.25" customHeight="1" x14ac:dyDescent="0.3">
      <c r="A21" s="140"/>
      <c r="B21" s="147" t="s">
        <v>56</v>
      </c>
      <c r="C21" s="147" t="s">
        <v>56</v>
      </c>
      <c r="D21" s="36">
        <f>'课程设置与教学进程表（附件2）'!H118</f>
        <v>34</v>
      </c>
      <c r="E21" s="38">
        <f t="shared" ca="1" si="2"/>
        <v>0.2</v>
      </c>
      <c r="F21" s="36">
        <f>'课程设置与教学进程表（附件2）'!I118</f>
        <v>768</v>
      </c>
      <c r="G21" s="38">
        <f t="shared" ca="1" si="3"/>
        <v>0.24615384615384617</v>
      </c>
    </row>
    <row r="22" spans="1:9" ht="20.25" customHeight="1" x14ac:dyDescent="0.3">
      <c r="A22" s="140"/>
      <c r="B22" s="160" t="s">
        <v>302</v>
      </c>
      <c r="C22" s="146"/>
      <c r="D22" s="36">
        <f ca="1">'课程设置与教学进程表（附件2）'!H120-SUM('课程学分学时分布表（附件1）'!D15:D21)</f>
        <v>5</v>
      </c>
      <c r="E22" s="38">
        <f t="shared" ca="1" si="2"/>
        <v>2.9411764705882353E-2</v>
      </c>
      <c r="F22" s="42">
        <f ca="1">'课程设置与教学进程表（附件2）'!I120-SUM('课程学分学时分布表（附件1）'!F15:F21)</f>
        <v>80</v>
      </c>
      <c r="G22" s="38">
        <f t="shared" ca="1" si="3"/>
        <v>2.564102564102564E-2</v>
      </c>
    </row>
    <row r="23" spans="1:9" ht="20.25" customHeight="1" x14ac:dyDescent="0.3">
      <c r="A23" s="141"/>
      <c r="B23" s="159" t="s">
        <v>301</v>
      </c>
      <c r="C23" s="161"/>
      <c r="D23" s="39">
        <f ca="1">SUM(D15:D22)</f>
        <v>116</v>
      </c>
      <c r="E23" s="43">
        <f ca="1">SUM(E15:E22)</f>
        <v>0.68235294117647061</v>
      </c>
      <c r="F23" s="44">
        <f ca="1">SUM(F15:F22)</f>
        <v>2112</v>
      </c>
      <c r="G23" s="43">
        <f ca="1">SUM(G15:G22)</f>
        <v>0.67692307692307696</v>
      </c>
      <c r="I23" s="51"/>
    </row>
    <row r="24" spans="1:9" ht="20.25" customHeight="1" x14ac:dyDescent="0.3">
      <c r="A24" s="155" t="s">
        <v>23</v>
      </c>
      <c r="B24" s="155"/>
      <c r="C24" s="155"/>
      <c r="D24" s="39">
        <f ca="1">SUM(D14, D23 )</f>
        <v>170</v>
      </c>
      <c r="E24" s="45">
        <f ca="1">SUM(E14, E23 )</f>
        <v>1</v>
      </c>
      <c r="F24" s="44">
        <f ca="1">SUM(F14, F23)</f>
        <v>3120</v>
      </c>
      <c r="G24" s="45">
        <f ca="1">SUM(G14, G23)</f>
        <v>1</v>
      </c>
    </row>
    <row r="25" spans="1:9" ht="16.5" customHeight="1" x14ac:dyDescent="0.3">
      <c r="A25" s="46"/>
      <c r="B25" s="46"/>
      <c r="C25" s="46"/>
      <c r="D25" s="46"/>
      <c r="E25" s="46"/>
      <c r="F25" s="46"/>
      <c r="G25" s="46"/>
    </row>
    <row r="26" spans="1:9" ht="20.25" customHeight="1" x14ac:dyDescent="0.3">
      <c r="A26" s="151" t="s">
        <v>303</v>
      </c>
      <c r="B26" s="151"/>
      <c r="C26" s="152"/>
      <c r="D26" s="154"/>
      <c r="E26" s="154"/>
      <c r="F26" s="154"/>
      <c r="G26" s="154"/>
    </row>
    <row r="27" spans="1:9" ht="20.25" customHeight="1" x14ac:dyDescent="0.3">
      <c r="A27" s="156" t="s">
        <v>304</v>
      </c>
      <c r="B27" s="157"/>
      <c r="C27" s="158"/>
      <c r="D27" s="36" t="s">
        <v>18</v>
      </c>
      <c r="E27" s="36" t="s">
        <v>295</v>
      </c>
      <c r="F27" s="36" t="s">
        <v>19</v>
      </c>
      <c r="G27" s="36" t="s">
        <v>295</v>
      </c>
    </row>
    <row r="28" spans="1:9" ht="20.25" customHeight="1" x14ac:dyDescent="0.3">
      <c r="A28" s="156" t="s">
        <v>305</v>
      </c>
      <c r="B28" s="157"/>
      <c r="C28" s="158"/>
      <c r="D28" s="42">
        <f>IFERROR('课程设置与教学进程表（附件2）'!W121,0)</f>
        <v>118.9453125</v>
      </c>
      <c r="E28" s="38">
        <f>IFERROR(D28/D32,0)</f>
        <v>0.69967830882352944</v>
      </c>
      <c r="F28" s="42">
        <f>IFERROR('课程设置与教学进程表（附件2）'!X121,0)</f>
        <v>1967.125</v>
      </c>
      <c r="G28" s="38">
        <f>IFERROR(F28/F32,0)</f>
        <v>0.630488782051282</v>
      </c>
    </row>
    <row r="29" spans="1:9" ht="20.25" customHeight="1" x14ac:dyDescent="0.3">
      <c r="A29" s="139" t="s">
        <v>306</v>
      </c>
      <c r="B29" s="147" t="s">
        <v>307</v>
      </c>
      <c r="C29" s="147"/>
      <c r="D29" s="42">
        <v>28</v>
      </c>
      <c r="E29" s="38">
        <f>IFERROR(D29/D32,0)</f>
        <v>0.16470588235294117</v>
      </c>
      <c r="F29" s="42">
        <f>IFERROR('课程设置与教学进程表（附件2）'!AB121,0)</f>
        <v>600</v>
      </c>
      <c r="G29" s="38">
        <f>IFERROR(F29/F32,0)</f>
        <v>0.19230769230769232</v>
      </c>
    </row>
    <row r="30" spans="1:9" ht="29.25" customHeight="1" x14ac:dyDescent="0.3">
      <c r="A30" s="140"/>
      <c r="B30" s="145" t="s">
        <v>308</v>
      </c>
      <c r="C30" s="145"/>
      <c r="D30" s="42">
        <f>IFERROR('课程设置与教学进程表（附件2）'!Y121,0)</f>
        <v>23.0546875</v>
      </c>
      <c r="E30" s="38">
        <f>IFERROR(D30/D32,0)</f>
        <v>0.13561580882352942</v>
      </c>
      <c r="F30" s="42">
        <f>IFERROR('课程设置与教学进程表（附件2）'!Z121,0)</f>
        <v>552.875</v>
      </c>
      <c r="G30" s="38">
        <f>IFERROR(F30/F32,0)</f>
        <v>0.17720352564102565</v>
      </c>
    </row>
    <row r="31" spans="1:9" ht="20.25" customHeight="1" x14ac:dyDescent="0.3">
      <c r="A31" s="141"/>
      <c r="B31" s="147" t="s">
        <v>301</v>
      </c>
      <c r="C31" s="147"/>
      <c r="D31" s="42">
        <f>SUM(D29:D30)</f>
        <v>51.0546875</v>
      </c>
      <c r="E31" s="41">
        <f>SUM(E29:E30)</f>
        <v>0.30032169117647056</v>
      </c>
      <c r="F31" s="42">
        <f>SUM(F29:F30)</f>
        <v>1152.875</v>
      </c>
      <c r="G31" s="41">
        <f>SUM(G29:G30)</f>
        <v>0.369511217948718</v>
      </c>
    </row>
    <row r="32" spans="1:9" ht="20.25" customHeight="1" x14ac:dyDescent="0.3">
      <c r="A32" s="148" t="s">
        <v>23</v>
      </c>
      <c r="B32" s="149"/>
      <c r="C32" s="150"/>
      <c r="D32" s="44">
        <f>D28+D31</f>
        <v>170</v>
      </c>
      <c r="E32" s="47">
        <f>E28+E31</f>
        <v>1</v>
      </c>
      <c r="F32" s="44">
        <f>F28+F31</f>
        <v>3120</v>
      </c>
      <c r="G32" s="47">
        <f>G28+G31</f>
        <v>1</v>
      </c>
    </row>
    <row r="34" spans="1:10" ht="20.25" customHeight="1" x14ac:dyDescent="0.3">
      <c r="A34" s="151" t="s">
        <v>309</v>
      </c>
      <c r="B34" s="151"/>
      <c r="C34" s="152"/>
      <c r="D34" s="152"/>
      <c r="E34" s="153"/>
      <c r="F34" s="154"/>
      <c r="G34" s="154"/>
      <c r="H34" s="154"/>
      <c r="I34" s="154"/>
      <c r="J34" s="154"/>
    </row>
    <row r="35" spans="1:10" ht="20.25" customHeight="1" x14ac:dyDescent="0.3">
      <c r="A35" s="130" t="s">
        <v>310</v>
      </c>
      <c r="B35" s="131"/>
      <c r="C35" s="132"/>
      <c r="D35" s="136" t="s">
        <v>18</v>
      </c>
      <c r="E35" s="137"/>
      <c r="F35" s="138"/>
      <c r="G35" s="136" t="s">
        <v>311</v>
      </c>
      <c r="H35" s="137"/>
      <c r="I35" s="138"/>
      <c r="J35" s="142" t="s">
        <v>312</v>
      </c>
    </row>
    <row r="36" spans="1:10" ht="20.25" customHeight="1" x14ac:dyDescent="0.3">
      <c r="A36" s="133"/>
      <c r="B36" s="134"/>
      <c r="C36" s="135"/>
      <c r="D36" s="37" t="s">
        <v>47</v>
      </c>
      <c r="E36" s="37" t="s">
        <v>50</v>
      </c>
      <c r="F36" s="37" t="s">
        <v>23</v>
      </c>
      <c r="G36" s="37" t="s">
        <v>47</v>
      </c>
      <c r="H36" s="37" t="s">
        <v>50</v>
      </c>
      <c r="I36" s="37" t="s">
        <v>23</v>
      </c>
      <c r="J36" s="144"/>
    </row>
    <row r="37" spans="1:10" ht="20.25" customHeight="1" x14ac:dyDescent="0.3">
      <c r="A37" s="136" t="s">
        <v>20</v>
      </c>
      <c r="B37" s="137"/>
      <c r="C37" s="138"/>
      <c r="D37" s="37">
        <v>27.5</v>
      </c>
      <c r="E37" s="37">
        <v>0</v>
      </c>
      <c r="F37" s="37">
        <v>26</v>
      </c>
      <c r="G37" s="108">
        <f>D37/F44</f>
        <v>0.16176470588235295</v>
      </c>
      <c r="H37" s="37">
        <v>0</v>
      </c>
      <c r="I37" s="108">
        <f>SUM(G37:H37)</f>
        <v>0.16176470588235295</v>
      </c>
      <c r="J37" s="52" t="s">
        <v>313</v>
      </c>
    </row>
    <row r="38" spans="1:10" ht="20.25" customHeight="1" x14ac:dyDescent="0.3">
      <c r="A38" s="142" t="s">
        <v>314</v>
      </c>
      <c r="B38" s="48"/>
      <c r="C38" s="37" t="s">
        <v>21</v>
      </c>
      <c r="D38" s="37">
        <v>7.5</v>
      </c>
      <c r="E38" s="37">
        <v>0</v>
      </c>
      <c r="F38" s="37">
        <v>7.5</v>
      </c>
      <c r="G38" s="108">
        <f>D38/F44</f>
        <v>4.4117647058823532E-2</v>
      </c>
      <c r="H38" s="37">
        <v>0</v>
      </c>
      <c r="I38" s="108">
        <f>SUM(G38:H38)</f>
        <v>4.4117647058823532E-2</v>
      </c>
      <c r="J38" s="127" t="s">
        <v>315</v>
      </c>
    </row>
    <row r="39" spans="1:10" ht="20.25" customHeight="1" x14ac:dyDescent="0.3">
      <c r="A39" s="143"/>
      <c r="B39" s="49"/>
      <c r="C39" s="37" t="s">
        <v>22</v>
      </c>
      <c r="D39" s="37">
        <v>14.5</v>
      </c>
      <c r="E39" s="37">
        <v>0</v>
      </c>
      <c r="F39" s="37">
        <v>15</v>
      </c>
      <c r="G39" s="108">
        <f>D39/F44</f>
        <v>8.5294117647058826E-2</v>
      </c>
      <c r="H39" s="37">
        <v>0</v>
      </c>
      <c r="I39" s="108">
        <f t="shared" ref="I39:I44" si="4">SUM(G39:H39)</f>
        <v>8.5294117647058826E-2</v>
      </c>
      <c r="J39" s="128"/>
    </row>
    <row r="40" spans="1:10" ht="20.25" customHeight="1" x14ac:dyDescent="0.3">
      <c r="A40" s="143"/>
      <c r="B40" s="49"/>
      <c r="C40" s="37" t="s">
        <v>316</v>
      </c>
      <c r="D40" s="37">
        <v>27.5</v>
      </c>
      <c r="E40" s="37">
        <v>5</v>
      </c>
      <c r="F40" s="37">
        <v>34.5</v>
      </c>
      <c r="G40" s="108">
        <f>D40/F44</f>
        <v>0.16176470588235295</v>
      </c>
      <c r="H40" s="108">
        <f>E40/F44</f>
        <v>2.9411764705882353E-2</v>
      </c>
      <c r="I40" s="108">
        <f>SUM(G40:H40)</f>
        <v>0.19117647058823531</v>
      </c>
      <c r="J40" s="128"/>
    </row>
    <row r="41" spans="1:10" ht="20.25" customHeight="1" x14ac:dyDescent="0.3">
      <c r="A41" s="144"/>
      <c r="B41" s="50"/>
      <c r="C41" s="37" t="s">
        <v>301</v>
      </c>
      <c r="D41" s="37">
        <f>SUM(D38:D40)</f>
        <v>49.5</v>
      </c>
      <c r="E41" s="37">
        <v>5</v>
      </c>
      <c r="F41" s="37">
        <v>55.5</v>
      </c>
      <c r="G41" s="108">
        <f>SUM(G38:G40)</f>
        <v>0.29117647058823531</v>
      </c>
      <c r="H41" s="108">
        <f>E41/F44</f>
        <v>2.9411764705882353E-2</v>
      </c>
      <c r="I41" s="108">
        <f t="shared" si="4"/>
        <v>0.32058823529411767</v>
      </c>
      <c r="J41" s="129"/>
    </row>
    <row r="42" spans="1:10" ht="20.25" customHeight="1" x14ac:dyDescent="0.3">
      <c r="A42" s="136" t="s">
        <v>317</v>
      </c>
      <c r="B42" s="137"/>
      <c r="C42" s="138"/>
      <c r="D42" s="37">
        <v>34</v>
      </c>
      <c r="E42" s="37">
        <v>0</v>
      </c>
      <c r="F42" s="37">
        <v>34</v>
      </c>
      <c r="G42" s="108">
        <f>D42/F44</f>
        <v>0.2</v>
      </c>
      <c r="H42" s="37">
        <v>0</v>
      </c>
      <c r="I42" s="108">
        <f>SUM(G42:H42)</f>
        <v>0.2</v>
      </c>
      <c r="J42" s="52" t="s">
        <v>318</v>
      </c>
    </row>
    <row r="43" spans="1:10" ht="20.25" customHeight="1" x14ac:dyDescent="0.3">
      <c r="A43" s="136" t="s">
        <v>319</v>
      </c>
      <c r="B43" s="137"/>
      <c r="C43" s="138"/>
      <c r="D43" s="37">
        <v>46</v>
      </c>
      <c r="E43" s="37">
        <v>8</v>
      </c>
      <c r="F43" s="37">
        <v>54</v>
      </c>
      <c r="G43" s="108">
        <f>D43/F44</f>
        <v>0.27058823529411763</v>
      </c>
      <c r="H43" s="108">
        <f>E43/F44</f>
        <v>4.7058823529411764E-2</v>
      </c>
      <c r="I43" s="108">
        <f t="shared" si="4"/>
        <v>0.31764705882352939</v>
      </c>
      <c r="J43" s="52" t="s">
        <v>313</v>
      </c>
    </row>
    <row r="44" spans="1:10" ht="20.25" customHeight="1" x14ac:dyDescent="0.3">
      <c r="A44" s="136" t="s">
        <v>23</v>
      </c>
      <c r="B44" s="137"/>
      <c r="C44" s="138"/>
      <c r="D44" s="37">
        <f>SUM(D37,D41,D42,D43)</f>
        <v>157</v>
      </c>
      <c r="E44" s="37">
        <v>13</v>
      </c>
      <c r="F44" s="37">
        <v>170</v>
      </c>
      <c r="G44" s="108">
        <f>SUM(G37,G41,G42,G43)</f>
        <v>0.92352941176470593</v>
      </c>
      <c r="H44" s="108">
        <f>SUM(H37,H41,H42:H43)</f>
        <v>7.6470588235294124E-2</v>
      </c>
      <c r="I44" s="108">
        <f t="shared" si="4"/>
        <v>1</v>
      </c>
      <c r="J44" s="37"/>
    </row>
    <row r="45" spans="1:10" ht="20.25" customHeight="1" x14ac:dyDescent="0.3">
      <c r="D45" s="102"/>
    </row>
  </sheetData>
  <mergeCells count="43">
    <mergeCell ref="B11:C11"/>
    <mergeCell ref="B12:C12"/>
    <mergeCell ref="B13:C13"/>
    <mergeCell ref="B6:C6"/>
    <mergeCell ref="B7:C7"/>
    <mergeCell ref="B8:C8"/>
    <mergeCell ref="B9:C9"/>
    <mergeCell ref="B10:C10"/>
    <mergeCell ref="A1:G1"/>
    <mergeCell ref="A2:G2"/>
    <mergeCell ref="B3:C3"/>
    <mergeCell ref="B4:C4"/>
    <mergeCell ref="B5:C5"/>
    <mergeCell ref="B14:C14"/>
    <mergeCell ref="A28:C28"/>
    <mergeCell ref="B29:C29"/>
    <mergeCell ref="B21:C21"/>
    <mergeCell ref="B22:C22"/>
    <mergeCell ref="B23:C23"/>
    <mergeCell ref="B18:C18"/>
    <mergeCell ref="B19:C19"/>
    <mergeCell ref="B20:C20"/>
    <mergeCell ref="A44:C44"/>
    <mergeCell ref="A4:A14"/>
    <mergeCell ref="A15:A23"/>
    <mergeCell ref="A29:A31"/>
    <mergeCell ref="A38:A41"/>
    <mergeCell ref="B15:B17"/>
    <mergeCell ref="B30:C30"/>
    <mergeCell ref="B31:C31"/>
    <mergeCell ref="A32:C32"/>
    <mergeCell ref="A34:J34"/>
    <mergeCell ref="D35:F35"/>
    <mergeCell ref="G35:I35"/>
    <mergeCell ref="J35:J36"/>
    <mergeCell ref="A24:C24"/>
    <mergeCell ref="A26:G26"/>
    <mergeCell ref="A27:C27"/>
    <mergeCell ref="J38:J41"/>
    <mergeCell ref="A35:C36"/>
    <mergeCell ref="A37:C37"/>
    <mergeCell ref="A42:C42"/>
    <mergeCell ref="A43:C43"/>
  </mergeCells>
  <phoneticPr fontId="30" type="noConversion"/>
  <pageMargins left="0.7" right="0.7" top="0.75" bottom="0.75" header="0.3" footer="0.3"/>
  <pageSetup paperSize="9" scale="84" orientation="portrait" horizontalDpi="360" verticalDpi="360" r:id="rId1"/>
  <ignoredErrors>
    <ignoredError sqref="F8 E14 G1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_Table"/>
  <dimension ref="A1:AB121"/>
  <sheetViews>
    <sheetView tabSelected="1" zoomScale="84" zoomScaleNormal="84" zoomScaleSheetLayoutView="70" workbookViewId="0">
      <pane ySplit="4" topLeftCell="A116" activePane="bottomLeft" state="frozen"/>
      <selection pane="bottomLeft" activeCell="E84" sqref="E84"/>
    </sheetView>
  </sheetViews>
  <sheetFormatPr defaultColWidth="9" defaultRowHeight="12" x14ac:dyDescent="0.3"/>
  <cols>
    <col min="1" max="2" width="3.08203125" style="6" customWidth="1"/>
    <col min="3" max="3" width="3.33203125" style="7" customWidth="1"/>
    <col min="4" max="4" width="7.1640625" style="8" customWidth="1"/>
    <col min="5" max="5" width="36.83203125" style="8" customWidth="1"/>
    <col min="6" max="6" width="4.08203125" style="7" customWidth="1"/>
    <col min="7" max="7" width="3.33203125" style="7" customWidth="1"/>
    <col min="8" max="8" width="3.5" style="7" customWidth="1"/>
    <col min="9" max="10" width="4.75" style="7" customWidth="1"/>
    <col min="11" max="11" width="4.58203125" style="7" customWidth="1"/>
    <col min="12" max="18" width="3.08203125" style="7" customWidth="1"/>
    <col min="19" max="19" width="2.6640625" style="7" customWidth="1"/>
    <col min="20" max="20" width="3.83203125" style="7" hidden="1" customWidth="1"/>
    <col min="21" max="21" width="3.83203125" style="2" hidden="1" customWidth="1"/>
    <col min="22" max="22" width="3.33203125" style="7" hidden="1" customWidth="1"/>
    <col min="23" max="23" width="5" style="7" hidden="1" customWidth="1"/>
    <col min="24" max="24" width="5.33203125" style="7" hidden="1" customWidth="1"/>
    <col min="25" max="25" width="10.6640625" style="7" customWidth="1"/>
    <col min="26" max="26" width="12.08203125" style="7" customWidth="1"/>
    <col min="27" max="27" width="7.5" style="7" customWidth="1"/>
    <col min="28" max="28" width="9.5" style="7" customWidth="1"/>
    <col min="29" max="16384" width="9" style="8"/>
  </cols>
  <sheetData>
    <row r="1" spans="1:28" ht="18" customHeight="1" x14ac:dyDescent="0.3">
      <c r="A1" s="9" t="s">
        <v>320</v>
      </c>
      <c r="B1" s="9"/>
      <c r="C1" s="9"/>
      <c r="D1" s="9"/>
      <c r="E1" s="9"/>
      <c r="F1" s="9"/>
      <c r="G1" s="9"/>
      <c r="H1" s="9"/>
      <c r="I1" s="9"/>
      <c r="J1" s="9"/>
      <c r="K1" s="9"/>
      <c r="L1" s="9"/>
      <c r="M1" s="9"/>
      <c r="N1" s="9"/>
      <c r="O1" s="9"/>
      <c r="P1" s="9"/>
      <c r="Q1" s="9"/>
      <c r="R1" s="9"/>
      <c r="S1" s="9"/>
      <c r="Y1" s="109"/>
      <c r="Z1" s="109"/>
      <c r="AA1" s="109"/>
      <c r="AB1" s="109"/>
    </row>
    <row r="2" spans="1:28" ht="18" customHeight="1" x14ac:dyDescent="0.3">
      <c r="A2" s="189" t="str">
        <f>"专业："&amp;数据定义!B2&amp;"（"&amp;数据定义!B1&amp;"）"</f>
        <v>专业：飞行器制造工程（082003）</v>
      </c>
      <c r="B2" s="153"/>
      <c r="C2" s="153"/>
      <c r="D2" s="153"/>
      <c r="E2" s="153"/>
      <c r="F2" s="153"/>
      <c r="G2" s="153"/>
      <c r="H2" s="153"/>
      <c r="I2" s="153"/>
      <c r="J2" s="153"/>
      <c r="K2" s="153"/>
      <c r="L2" s="153"/>
      <c r="M2" s="153"/>
      <c r="N2" s="153"/>
      <c r="O2" s="153"/>
      <c r="P2" s="153"/>
      <c r="Q2" s="153"/>
      <c r="R2" s="153"/>
      <c r="S2" s="153"/>
      <c r="Y2" s="109"/>
      <c r="Z2" s="109"/>
      <c r="AA2" s="109"/>
      <c r="AB2" s="109"/>
    </row>
    <row r="3" spans="1:28" ht="25" customHeight="1" x14ac:dyDescent="0.3">
      <c r="A3" s="174" t="s">
        <v>40</v>
      </c>
      <c r="B3" s="174" t="s">
        <v>64</v>
      </c>
      <c r="C3" s="174" t="s">
        <v>321</v>
      </c>
      <c r="D3" s="195" t="s">
        <v>66</v>
      </c>
      <c r="E3" s="191" t="s">
        <v>322</v>
      </c>
      <c r="F3" s="167" t="s">
        <v>44</v>
      </c>
      <c r="G3" s="167" t="s">
        <v>45</v>
      </c>
      <c r="H3" s="174" t="s">
        <v>18</v>
      </c>
      <c r="I3" s="174" t="s">
        <v>36</v>
      </c>
      <c r="J3" s="174" t="s">
        <v>37</v>
      </c>
      <c r="K3" s="199" t="s">
        <v>38</v>
      </c>
      <c r="L3" s="190" t="s">
        <v>323</v>
      </c>
      <c r="M3" s="191"/>
      <c r="N3" s="191"/>
      <c r="O3" s="191"/>
      <c r="P3" s="191"/>
      <c r="Q3" s="191"/>
      <c r="R3" s="191"/>
      <c r="S3" s="191"/>
      <c r="T3" s="165" t="s">
        <v>15</v>
      </c>
      <c r="U3" s="166" t="s">
        <v>62</v>
      </c>
      <c r="V3" s="166" t="s">
        <v>321</v>
      </c>
      <c r="W3" s="29" t="s">
        <v>305</v>
      </c>
      <c r="X3" s="29"/>
      <c r="Y3" s="110" t="s">
        <v>324</v>
      </c>
      <c r="Z3" s="110"/>
      <c r="AA3" s="110" t="s">
        <v>307</v>
      </c>
      <c r="AB3" s="110"/>
    </row>
    <row r="4" spans="1:28" ht="30.75" customHeight="1" x14ac:dyDescent="0.3">
      <c r="A4" s="174"/>
      <c r="B4" s="174"/>
      <c r="C4" s="174"/>
      <c r="D4" s="195"/>
      <c r="E4" s="191"/>
      <c r="F4" s="167"/>
      <c r="G4" s="167"/>
      <c r="H4" s="174"/>
      <c r="I4" s="174" t="s">
        <v>36</v>
      </c>
      <c r="J4" s="174"/>
      <c r="K4" s="199"/>
      <c r="L4" s="24">
        <v>1</v>
      </c>
      <c r="M4" s="10">
        <v>2</v>
      </c>
      <c r="N4" s="10">
        <v>3</v>
      </c>
      <c r="O4" s="10">
        <v>4</v>
      </c>
      <c r="P4" s="10">
        <v>5</v>
      </c>
      <c r="Q4" s="10">
        <v>6</v>
      </c>
      <c r="R4" s="10">
        <v>7</v>
      </c>
      <c r="S4" s="10">
        <v>8</v>
      </c>
      <c r="T4" s="165"/>
      <c r="U4" s="166"/>
      <c r="V4" s="166"/>
      <c r="W4" s="7" t="s">
        <v>18</v>
      </c>
      <c r="X4" s="7" t="s">
        <v>19</v>
      </c>
      <c r="Y4" s="109" t="s">
        <v>18</v>
      </c>
      <c r="Z4" s="109" t="s">
        <v>19</v>
      </c>
      <c r="AA4" s="109" t="s">
        <v>18</v>
      </c>
      <c r="AB4" s="109" t="s">
        <v>19</v>
      </c>
    </row>
    <row r="5" spans="1:28" ht="25" customHeight="1" x14ac:dyDescent="0.3">
      <c r="A5" s="168" t="s">
        <v>41</v>
      </c>
      <c r="B5" s="168" t="s">
        <v>46</v>
      </c>
      <c r="C5" s="11">
        <v>1</v>
      </c>
      <c r="D5" s="12" t="str">
        <f>IFERROR(IF(VLOOKUP(U5,课程清单!A:Q,7,0)="","",VLOOKUP(U5,课程清单!A:Q,7,0)),"")</f>
        <v>053017P1</v>
      </c>
      <c r="E5" s="13" t="str">
        <f>IFERROR(VLOOKUP(U5,课程清单!A:Q,8,0)&amp;IF(VLOOKUP(U5,课程清单!A:Q,9,0)="","",CHAR(10)&amp;VLOOKUP(U5,课程清单!A:Q,9,0)),"")</f>
        <v>中国近现代史纲要
Outline of Modern Chinese History</v>
      </c>
      <c r="F5" s="11" t="str">
        <f>IFERROR(IF(VLOOKUP(U5,课程清单!A:Q,10,0)="","",VLOOKUP(U5,课程清单!A:Q,10,0)),"")</f>
        <v>必修</v>
      </c>
      <c r="G5" s="11" t="str">
        <f>IFERROR(IF(VLOOKUP(U5,课程清单!A:Q,11,0)="","",VLOOKUP(U5,课程清单!A:Q,11,0)),"")</f>
        <v/>
      </c>
      <c r="H5" s="14">
        <f>IFERROR(IF(VLOOKUP(U5,课程清单!A:Q,12,0)="","",VLOOKUP(U5,课程清单!A:Q,12,0)),"")</f>
        <v>3</v>
      </c>
      <c r="I5" s="14">
        <f>IFERROR(IF(VLOOKUP(U5,课程清单!A:Q,13,0)="",0,VLOOKUP(U5,课程清单!A:Q,13,0)),"")</f>
        <v>48</v>
      </c>
      <c r="J5" s="14">
        <f>IFERROR(IF(VLOOKUP(U5,课程清单!A:Q,14,0)="",0,VLOOKUP(U5,课程清单!A:Q,14,0)),"")</f>
        <v>48</v>
      </c>
      <c r="K5" s="25">
        <f>IFERROR(IF(VLOOKUP(U5,课程清单!A:Q,15,0)="",0,VLOOKUP(U5,课程清单!A:Q,15,0)),"")</f>
        <v>0</v>
      </c>
      <c r="L5" s="26" t="str">
        <f>IFERROR(IF(VLOOKUP(U5,课程清单!A:Q,16,0)=$L$4,VLOOKUP(U5,课程清单!A:Q,17,0),""),"")</f>
        <v/>
      </c>
      <c r="M5" s="11">
        <f>IFERROR(IF(VLOOKUP(U5,课程清单!A:Q,16,0)=$M$4,VLOOKUP(U5,课程清单!A:Q,17,0),""),"")</f>
        <v>3</v>
      </c>
      <c r="N5" s="11" t="str">
        <f>IFERROR(IF(VLOOKUP(U5,课程清单!A:Q,16,0)=$N$4,VLOOKUP(U5,课程清单!A:Q,17,0),""),"")</f>
        <v/>
      </c>
      <c r="O5" s="11" t="str">
        <f>IFERROR(IF(VLOOKUP(U5,课程清单!A:Q,16,0)=$O$4,VLOOKUP(U5,课程清单!A:Q,17,0),""),"")</f>
        <v/>
      </c>
      <c r="P5" s="11" t="str">
        <f>IFERROR(IF(VLOOKUP(U5,课程清单!A:Q,16,0)=$P$4,VLOOKUP(U5,课程清单!A:Q,17,0),""),"")</f>
        <v/>
      </c>
      <c r="Q5" s="11" t="str">
        <f>IFERROR(IF(VLOOKUP(U5,课程清单!A:Q,16,0)=$Q$4,VLOOKUP(U5,课程清单!A:Q,17,0),""),"")</f>
        <v/>
      </c>
      <c r="R5" s="11" t="str">
        <f>IFERROR(IF(VLOOKUP(U5,课程清单!A:Q,16,0)=$R$4,VLOOKUP(U5,课程清单!A:Q,17,0),""),"")</f>
        <v/>
      </c>
      <c r="S5" s="11" t="str">
        <f>IFERROR(IF(VLOOKUP(U5,课程清单!A:Q,16,0)=$S$4,VLOOKUP(U5,课程清单!A:Q,17,0),""),"")</f>
        <v/>
      </c>
      <c r="T5" s="7">
        <v>1</v>
      </c>
      <c r="U5" s="2" t="str">
        <f>"通识教育课程平台_思政类_"&amp;T5</f>
        <v>通识教育课程平台_思政类_1</v>
      </c>
      <c r="V5" s="7">
        <f>C5</f>
        <v>1</v>
      </c>
      <c r="W5" s="7">
        <f t="shared" ref="W5" si="0">IF(_xlfn.IFNA(MATCH("+*",L5:S5,0),-1)=-1,H5*IF(J5="",0,J5)/I5,0)</f>
        <v>3</v>
      </c>
      <c r="X5" s="7">
        <f t="shared" ref="X5" si="1">IF(_xlfn.IFNA(MATCH("+*",L5:S5,0),-1)=-1,J5,0)</f>
        <v>48</v>
      </c>
      <c r="Y5" s="109">
        <f t="shared" ref="Y5" si="2">IF(_xlfn.IFNA(MATCH("+*",L5:S5,0),-1)=-1,H5*IF(K5="",0,K5)/I5,0)</f>
        <v>0</v>
      </c>
      <c r="Z5" s="109">
        <f t="shared" ref="Z5" si="3">IF(_xlfn.IFNA(MATCH("+*",L5:S5,0),-1)=-1,IF(K5="",0,K5),0)</f>
        <v>0</v>
      </c>
      <c r="AA5" s="109">
        <f t="shared" ref="AA5" si="4">IF(_xlfn.IFNA(MATCH("+*",L5:S5,0),-1)&lt;&gt;-1,H5,0)</f>
        <v>0</v>
      </c>
      <c r="AB5" s="109">
        <f t="shared" ref="AB5" si="5">IF(AA5=0,0,K5)</f>
        <v>0</v>
      </c>
    </row>
    <row r="6" spans="1:28" ht="25" customHeight="1" x14ac:dyDescent="0.3">
      <c r="A6" s="169"/>
      <c r="B6" s="169"/>
      <c r="C6" s="11">
        <v>2</v>
      </c>
      <c r="D6" s="12" t="str">
        <f>IFERROR(IF(VLOOKUP(U6,课程清单!A:Q,7,0)="","",VLOOKUP(U6,课程清单!A:Q,7,0)),"")</f>
        <v>053011R1</v>
      </c>
      <c r="E6" s="13" t="str">
        <f>IFERROR(VLOOKUP(U6,课程清单!A:Q,8,0)&amp;IF(VLOOKUP(U6,课程清单!A:Q,9,0)="","",CHAR(10)&amp;VLOOKUP(U6,课程清单!A:Q,9,0)),"")</f>
        <v>思想道德与法治
Ideology Morality and Law</v>
      </c>
      <c r="F6" s="11" t="str">
        <f>IFERROR(IF(VLOOKUP(U6,课程清单!A:Q,10,0)="","",VLOOKUP(U6,课程清单!A:Q,10,0)),"")</f>
        <v>必修</v>
      </c>
      <c r="G6" s="11" t="str">
        <f>IFERROR(IF(VLOOKUP(U6,课程清单!A:Q,11,0)="","",VLOOKUP(U6,课程清单!A:Q,11,0)),"")</f>
        <v/>
      </c>
      <c r="H6" s="14">
        <f>IFERROR(IF(VLOOKUP(U6,课程清单!A:Q,12,0)="","",VLOOKUP(U6,课程清单!A:Q,12,0)),"")</f>
        <v>2</v>
      </c>
      <c r="I6" s="14">
        <f>IFERROR(IF(VLOOKUP(U6,课程清单!A:Q,13,0)="",0,VLOOKUP(U6,课程清单!A:Q,13,0)),"")</f>
        <v>32</v>
      </c>
      <c r="J6" s="14">
        <f>IFERROR(IF(VLOOKUP(U6,课程清单!A:Q,14,0)="",0,VLOOKUP(U6,课程清单!A:Q,14,0)),"")</f>
        <v>32</v>
      </c>
      <c r="K6" s="25">
        <f>IFERROR(IF(VLOOKUP(U6,课程清单!A:Q,15,0)="",0,VLOOKUP(U6,课程清单!A:Q,15,0)),"")</f>
        <v>0</v>
      </c>
      <c r="L6" s="26">
        <f>IFERROR(IF(VLOOKUP(U6,课程清单!A:Q,16,0)=$L$4,VLOOKUP(U6,课程清单!A:Q,17,0),""),"")</f>
        <v>2</v>
      </c>
      <c r="M6" s="11" t="str">
        <f>IFERROR(IF(VLOOKUP(U6,课程清单!A:Q,16,0)=$M$4,VLOOKUP(U6,课程清单!A:Q,17,0),""),"")</f>
        <v/>
      </c>
      <c r="N6" s="11" t="str">
        <f>IFERROR(IF(VLOOKUP(U6,课程清单!A:Q,16,0)=$N$4,VLOOKUP(U6,课程清单!A:Q,17,0),""),"")</f>
        <v/>
      </c>
      <c r="O6" s="11" t="str">
        <f>IFERROR(IF(VLOOKUP(U6,课程清单!A:Q,16,0)=$O$4,VLOOKUP(U6,课程清单!A:Q,17,0),""),"")</f>
        <v/>
      </c>
      <c r="P6" s="11" t="str">
        <f>IFERROR(IF(VLOOKUP(U6,课程清单!A:Q,16,0)=$P$4,VLOOKUP(U6,课程清单!A:Q,17,0),""),"")</f>
        <v/>
      </c>
      <c r="Q6" s="11" t="str">
        <f>IFERROR(IF(VLOOKUP(U6,课程清单!A:Q,16,0)=$Q$4,VLOOKUP(U6,课程清单!A:Q,17,0),""),"")</f>
        <v/>
      </c>
      <c r="R6" s="11" t="str">
        <f>IFERROR(IF(VLOOKUP(U6,课程清单!A:Q,16,0)=$R$4,VLOOKUP(U6,课程清单!A:Q,17,0),""),"")</f>
        <v/>
      </c>
      <c r="S6" s="11" t="str">
        <f>IFERROR(IF(VLOOKUP(U6,课程清单!A:Q,16,0)=$S$4,VLOOKUP(U6,课程清单!A:Q,17,0),""),"")</f>
        <v/>
      </c>
      <c r="T6" s="7">
        <v>2</v>
      </c>
      <c r="U6" s="2" t="str">
        <f>"通识教育课程平台_思政类_"&amp;T6</f>
        <v>通识教育课程平台_思政类_2</v>
      </c>
      <c r="V6" s="7">
        <f t="shared" ref="V6:V40" si="6">C6</f>
        <v>2</v>
      </c>
      <c r="W6" s="7">
        <f t="shared" ref="W6:W19" si="7">IF(_xlfn.IFNA(MATCH("+*",L6:S6,0),-1)=-1,H6*IF(J6="",0,J6)/I6,0)</f>
        <v>2</v>
      </c>
      <c r="X6" s="7">
        <f t="shared" ref="X6:X19" si="8">IF(_xlfn.IFNA(MATCH("+*",L6:S6,0),-1)=-1,J6,0)</f>
        <v>32</v>
      </c>
      <c r="Y6" s="109">
        <f t="shared" ref="Y6:Y19" si="9">IF(_xlfn.IFNA(MATCH("+*",L6:S6,0),-1)=-1,H6*IF(K6="",0,K6)/I6,0)</f>
        <v>0</v>
      </c>
      <c r="Z6" s="109">
        <f t="shared" ref="Z6:Z19" si="10">IF(_xlfn.IFNA(MATCH("+*",L6:S6,0),-1)=-1,IF(K6="",0,K6),0)</f>
        <v>0</v>
      </c>
      <c r="AA6" s="109">
        <f t="shared" ref="AA6:AA19" si="11">IF(_xlfn.IFNA(MATCH("+*",L6:S6,0),-1)&lt;&gt;-1,H6,0)</f>
        <v>0</v>
      </c>
      <c r="AB6" s="109">
        <f t="shared" ref="AB6:AB19" si="12">IF(AA6=0,0,K6)</f>
        <v>0</v>
      </c>
    </row>
    <row r="7" spans="1:28" ht="25" customHeight="1" x14ac:dyDescent="0.3">
      <c r="A7" s="169"/>
      <c r="B7" s="169"/>
      <c r="C7" s="11">
        <v>3</v>
      </c>
      <c r="D7" s="12" t="str">
        <f>IFERROR(IF(VLOOKUP(U7,课程清单!A:Q,7,0)="","",VLOOKUP(U7,课程清单!A:Q,7,0)),"")</f>
        <v>053011R1</v>
      </c>
      <c r="E7" s="13" t="str">
        <f>IFERROR(VLOOKUP(U7,课程清单!A:Q,8,0)&amp;IF(VLOOKUP(U7,课程清单!A:Q,9,0)="","",CHAR(10)&amp;VLOOKUP(U7,课程清单!A:Q,9,0)),"")</f>
        <v>思想道德与法治实践
Ideology Morality and Law Practice</v>
      </c>
      <c r="F7" s="11" t="str">
        <f>IFERROR(IF(VLOOKUP(U7,课程清单!A:Q,10,0)="","",VLOOKUP(U7,课程清单!A:Q,10,0)),"")</f>
        <v>必修</v>
      </c>
      <c r="G7" s="11" t="str">
        <f>IFERROR(IF(VLOOKUP(U7,课程清单!A:Q,11,0)="","",VLOOKUP(U7,课程清单!A:Q,11,0)),"")</f>
        <v/>
      </c>
      <c r="H7" s="14">
        <f>IFERROR(IF(VLOOKUP(U7,课程清单!A:Q,12,0)="","",VLOOKUP(U7,课程清单!A:Q,12,0)),"")</f>
        <v>1</v>
      </c>
      <c r="I7" s="14">
        <f>IFERROR(IF(VLOOKUP(U7,课程清单!A:Q,13,0)="",0,VLOOKUP(U7,课程清单!A:Q,13,0)),"")</f>
        <v>20</v>
      </c>
      <c r="J7" s="14">
        <f>IFERROR(IF(VLOOKUP(U7,课程清单!A:Q,14,0)="",0,VLOOKUP(U7,课程清单!A:Q,14,0)),"")</f>
        <v>0</v>
      </c>
      <c r="K7" s="25">
        <f>IFERROR(IF(VLOOKUP(U7,课程清单!A:Q,15,0)="",0,VLOOKUP(U7,课程清单!A:Q,15,0)),"")</f>
        <v>20</v>
      </c>
      <c r="L7" s="97" t="str">
        <f>IFERROR(IF(VLOOKUP(U7,课程清单!A:Q,16,0)=$L$4,VLOOKUP(U7,课程清单!A:Q,17,0),""),"")</f>
        <v>+1</v>
      </c>
      <c r="M7" s="11" t="str">
        <f>IFERROR(IF(VLOOKUP(U7,课程清单!A:Q,16,0)=$M$4,VLOOKUP(U7,课程清单!A:Q,17,0),""),"")</f>
        <v/>
      </c>
      <c r="N7" s="11" t="str">
        <f>IFERROR(IF(VLOOKUP(U7,课程清单!A:Q,16,0)=$N$4,VLOOKUP(U7,课程清单!A:Q,17,0),""),"")</f>
        <v/>
      </c>
      <c r="O7" s="11" t="str">
        <f>IFERROR(IF(VLOOKUP(U7,课程清单!A:Q,16,0)=$O$4,VLOOKUP(U7,课程清单!A:Q,17,0),""),"")</f>
        <v/>
      </c>
      <c r="P7" s="11" t="str">
        <f>IFERROR(IF(VLOOKUP(U7,课程清单!A:Q,16,0)=$P$4,VLOOKUP(U7,课程清单!A:Q,17,0),""),"")</f>
        <v/>
      </c>
      <c r="Q7" s="11" t="str">
        <f>IFERROR(IF(VLOOKUP(U7,课程清单!A:Q,16,0)=$Q$4,VLOOKUP(U7,课程清单!A:Q,17,0),""),"")</f>
        <v/>
      </c>
      <c r="R7" s="11" t="str">
        <f>IFERROR(IF(VLOOKUP(U7,课程清单!A:Q,16,0)=$R$4,VLOOKUP(U7,课程清单!A:Q,17,0),""),"")</f>
        <v/>
      </c>
      <c r="S7" s="11" t="str">
        <f>IFERROR(IF(VLOOKUP(U7,课程清单!A:Q,16,0)=$S$4,VLOOKUP(U7,课程清单!A:Q,17,0),""),"")</f>
        <v/>
      </c>
      <c r="T7" s="7">
        <v>3</v>
      </c>
      <c r="U7" s="2" t="str">
        <f t="shared" ref="U7:U17" si="13">"通识教育课程平台_思政类_"&amp;T7</f>
        <v>通识教育课程平台_思政类_3</v>
      </c>
      <c r="V7" s="7">
        <f t="shared" si="6"/>
        <v>3</v>
      </c>
      <c r="W7" s="7">
        <f t="shared" si="7"/>
        <v>0</v>
      </c>
      <c r="X7" s="7">
        <f t="shared" si="8"/>
        <v>0</v>
      </c>
      <c r="Y7" s="109">
        <f t="shared" si="9"/>
        <v>0</v>
      </c>
      <c r="Z7" s="109">
        <f t="shared" si="10"/>
        <v>0</v>
      </c>
      <c r="AA7" s="109">
        <f t="shared" si="11"/>
        <v>1</v>
      </c>
      <c r="AB7" s="109">
        <f t="shared" si="12"/>
        <v>20</v>
      </c>
    </row>
    <row r="8" spans="1:28" ht="33.75" customHeight="1" x14ac:dyDescent="0.3">
      <c r="A8" s="169"/>
      <c r="B8" s="169"/>
      <c r="C8" s="11">
        <v>4</v>
      </c>
      <c r="D8" s="12" t="str">
        <f>IFERROR(IF(VLOOKUP(U8,课程清单!A:Q,7,0)="","",VLOOKUP(U8,课程清单!A:Q,7,0)),"")</f>
        <v>053010R1</v>
      </c>
      <c r="E8" s="13" t="str">
        <f>IFERROR(VLOOKUP(U8,课程清单!A:Q,8,0)&amp;IF(VLOOKUP(U8,课程清单!A:Q,9,0)="","",CHAR(10)&amp;VLOOKUP(U8,课程清单!A:Q,9,0)),"")</f>
        <v>马克思主义基本原理
The Principle of Marx Doctrine</v>
      </c>
      <c r="F8" s="11" t="str">
        <f>IFERROR(IF(VLOOKUP(U8,课程清单!A:Q,10,0)="","",VLOOKUP(U8,课程清单!A:Q,10,0)),"")</f>
        <v>必修</v>
      </c>
      <c r="G8" s="11" t="str">
        <f>IFERROR(IF(VLOOKUP(U8,课程清单!A:Q,11,0)="","",VLOOKUP(U8,课程清单!A:Q,11,0)),"")</f>
        <v/>
      </c>
      <c r="H8" s="14">
        <f>IFERROR(IF(VLOOKUP(U8,课程清单!A:Q,12,0)="","",VLOOKUP(U8,课程清单!A:Q,12,0)),"")</f>
        <v>3</v>
      </c>
      <c r="I8" s="14">
        <f>IFERROR(IF(VLOOKUP(U8,课程清单!A:Q,13,0)="",0,VLOOKUP(U8,课程清单!A:Q,13,0)),"")</f>
        <v>48</v>
      </c>
      <c r="J8" s="14">
        <f>IFERROR(IF(VLOOKUP(U8,课程清单!A:Q,14,0)="",0,VLOOKUP(U8,课程清单!A:Q,14,0)),"")</f>
        <v>48</v>
      </c>
      <c r="K8" s="25">
        <f>IFERROR(IF(VLOOKUP(U8,课程清单!A:Q,15,0)="",0,VLOOKUP(U8,课程清单!A:Q,15,0)),"")</f>
        <v>0</v>
      </c>
      <c r="L8" s="26" t="str">
        <f>IFERROR(IF(VLOOKUP(U8,课程清单!A:Q,16,0)=$L$4,VLOOKUP(U8,课程清单!A:Q,17,0),""),"")</f>
        <v/>
      </c>
      <c r="M8" s="11" t="str">
        <f>IFERROR(IF(VLOOKUP(U8,课程清单!A:Q,16,0)=$M$4,VLOOKUP(U8,课程清单!A:Q,17,0),""),"")</f>
        <v/>
      </c>
      <c r="N8" s="11" t="str">
        <f>IFERROR(IF(VLOOKUP(U8,课程清单!A:Q,16,0)=$N$4,VLOOKUP(U8,课程清单!A:Q,17,0),""),"")</f>
        <v/>
      </c>
      <c r="O8" s="11">
        <f>IFERROR(IF(VLOOKUP(U8,课程清单!A:Q,16,0)=$O$4,VLOOKUP(U8,课程清单!A:Q,17,0),""),"")</f>
        <v>3</v>
      </c>
      <c r="P8" s="11" t="str">
        <f>IFERROR(IF(VLOOKUP(U8,课程清单!A:Q,16,0)=$P$4,VLOOKUP(U8,课程清单!A:Q,17,0),""),"")</f>
        <v/>
      </c>
      <c r="Q8" s="11" t="str">
        <f>IFERROR(IF(VLOOKUP(U8,课程清单!A:Q,16,0)=$Q$4,VLOOKUP(U8,课程清单!A:Q,17,0),""),"")</f>
        <v/>
      </c>
      <c r="R8" s="11" t="str">
        <f>IFERROR(IF(VLOOKUP(U8,课程清单!A:Q,16,0)=$R$4,VLOOKUP(U8,课程清单!A:Q,17,0),""),"")</f>
        <v/>
      </c>
      <c r="S8" s="11" t="str">
        <f>IFERROR(IF(VLOOKUP(U8,课程清单!A:Q,16,0)=$S$4,VLOOKUP(U8,课程清单!A:Q,17,0),""),"")</f>
        <v/>
      </c>
      <c r="T8" s="7">
        <v>4</v>
      </c>
      <c r="U8" s="2" t="str">
        <f t="shared" si="13"/>
        <v>通识教育课程平台_思政类_4</v>
      </c>
      <c r="V8" s="7">
        <f t="shared" si="6"/>
        <v>4</v>
      </c>
      <c r="W8" s="7">
        <f t="shared" si="7"/>
        <v>3</v>
      </c>
      <c r="X8" s="7">
        <f t="shared" si="8"/>
        <v>48</v>
      </c>
      <c r="Y8" s="109">
        <f t="shared" si="9"/>
        <v>0</v>
      </c>
      <c r="Z8" s="109">
        <f t="shared" si="10"/>
        <v>0</v>
      </c>
      <c r="AA8" s="109">
        <f t="shared" si="11"/>
        <v>0</v>
      </c>
      <c r="AB8" s="109">
        <f t="shared" si="12"/>
        <v>0</v>
      </c>
    </row>
    <row r="9" spans="1:28" ht="36" x14ac:dyDescent="0.3">
      <c r="A9" s="169"/>
      <c r="B9" s="169"/>
      <c r="C9" s="11">
        <v>5</v>
      </c>
      <c r="D9" s="12" t="str">
        <f>IFERROR(IF(VLOOKUP(U9,课程清单!A:Q,7,0)="","",VLOOKUP(U9,课程清单!A:Q,7,0)),"")</f>
        <v>053008R1</v>
      </c>
      <c r="E9" s="13" t="str">
        <f>IFERROR(VLOOKUP(U9,课程清单!A:Q,8,0)&amp;IF(VLOOKUP(U9,课程清单!A:Q,9,0)="","",CHAR(10)&amp;VLOOKUP(U9,课程清单!A:Q,9,0)),"")</f>
        <v>毛泽东思想和中国特色社会主义理论体系概论
Mao Zedong Thought and Theoretical Stystem of Chinese Socialism</v>
      </c>
      <c r="F9" s="11" t="str">
        <f>IFERROR(IF(VLOOKUP(U9,课程清单!A:Q,10,0)="","",VLOOKUP(U9,课程清单!A:Q,10,0)),"")</f>
        <v>必修</v>
      </c>
      <c r="G9" s="11" t="str">
        <f>IFERROR(IF(VLOOKUP(U9,课程清单!A:Q,11,0)="","",VLOOKUP(U9,课程清单!A:Q,11,0)),"")</f>
        <v/>
      </c>
      <c r="H9" s="14">
        <f>IFERROR(IF(VLOOKUP(U9,课程清单!A:Q,12,0)="","",VLOOKUP(U9,课程清单!A:Q,12,0)),"")</f>
        <v>4</v>
      </c>
      <c r="I9" s="14">
        <f>IFERROR(IF(VLOOKUP(U9,课程清单!A:Q,13,0)="",0,VLOOKUP(U9,课程清单!A:Q,13,0)),"")</f>
        <v>64</v>
      </c>
      <c r="J9" s="14">
        <f>IFERROR(IF(VLOOKUP(U9,课程清单!A:Q,14,0)="",0,VLOOKUP(U9,课程清单!A:Q,14,0)),"")</f>
        <v>64</v>
      </c>
      <c r="K9" s="25">
        <f>IFERROR(IF(VLOOKUP(U9,课程清单!A:Q,15,0)="",0,VLOOKUP(U9,课程清单!A:Q,15,0)),"")</f>
        <v>0</v>
      </c>
      <c r="L9" s="26" t="str">
        <f>IFERROR(IF(VLOOKUP(U9,课程清单!A:Q,16,0)=$L$4,VLOOKUP(U9,课程清单!A:Q,17,0),""),"")</f>
        <v/>
      </c>
      <c r="M9" s="11" t="str">
        <f>IFERROR(IF(VLOOKUP(U9,课程清单!A:Q,16,0)=$M$4,VLOOKUP(U9,课程清单!A:Q,17,0),""),"")</f>
        <v/>
      </c>
      <c r="N9" s="11">
        <f>IFERROR(IF(VLOOKUP(U9,课程清单!A:Q,16,0)=$N$4,VLOOKUP(U9,课程清单!A:Q,17,0),""),"")</f>
        <v>4</v>
      </c>
      <c r="O9" s="11" t="str">
        <f>IFERROR(IF(VLOOKUP(U9,课程清单!A:Q,16,0)=$O$4,VLOOKUP(U9,课程清单!A:Q,17,0),""),"")</f>
        <v/>
      </c>
      <c r="P9" s="11" t="str">
        <f>IFERROR(IF(VLOOKUP(U9,课程清单!A:Q,16,0)=$P$4,VLOOKUP(U9,课程清单!A:Q,17,0),""),"")</f>
        <v/>
      </c>
      <c r="Q9" s="11" t="str">
        <f>IFERROR(IF(VLOOKUP(U9,课程清单!A:Q,16,0)=$Q$4,VLOOKUP(U9,课程清单!A:Q,17,0),""),"")</f>
        <v/>
      </c>
      <c r="R9" s="11" t="str">
        <f>IFERROR(IF(VLOOKUP(U9,课程清单!A:Q,16,0)=$R$4,VLOOKUP(U9,课程清单!A:Q,17,0),""),"")</f>
        <v/>
      </c>
      <c r="S9" s="11" t="str">
        <f>IFERROR(IF(VLOOKUP(U9,课程清单!A:Q,16,0)=$S$4,VLOOKUP(U9,课程清单!A:Q,17,0),""),"")</f>
        <v/>
      </c>
      <c r="T9" s="7">
        <v>5</v>
      </c>
      <c r="U9" s="2" t="str">
        <f t="shared" si="13"/>
        <v>通识教育课程平台_思政类_5</v>
      </c>
      <c r="V9" s="7">
        <f t="shared" si="6"/>
        <v>5</v>
      </c>
      <c r="W9" s="7">
        <f t="shared" si="7"/>
        <v>4</v>
      </c>
      <c r="X9" s="7">
        <f t="shared" si="8"/>
        <v>64</v>
      </c>
      <c r="Y9" s="109">
        <f t="shared" si="9"/>
        <v>0</v>
      </c>
      <c r="Z9" s="109">
        <f t="shared" si="10"/>
        <v>0</v>
      </c>
      <c r="AA9" s="109">
        <f t="shared" si="11"/>
        <v>0</v>
      </c>
      <c r="AB9" s="109">
        <f t="shared" si="12"/>
        <v>0</v>
      </c>
    </row>
    <row r="10" spans="1:28" ht="36" x14ac:dyDescent="0.3">
      <c r="A10" s="169"/>
      <c r="B10" s="169"/>
      <c r="C10" s="11">
        <v>6</v>
      </c>
      <c r="D10" s="12" t="str">
        <f>IFERROR(IF(VLOOKUP(U10,课程清单!A:Q,7,0)="","",VLOOKUP(U10,课程清单!A:Q,7,0)),"")</f>
        <v>053008R1</v>
      </c>
      <c r="E10" s="13" t="str">
        <f>IFERROR(VLOOKUP(U10,课程清单!A:Q,8,0)&amp;IF(VLOOKUP(U10,课程清单!A:Q,9,0)="","",CHAR(10)&amp;VLOOKUP(U10,课程清单!A:Q,9,0)),"")</f>
        <v>毛泽东思想和中国特色社会主义理论体系概论实践
Mao Zedong Thought and Theoretical Stystem of Chinese Practice</v>
      </c>
      <c r="F10" s="11" t="str">
        <f>IFERROR(IF(VLOOKUP(U10,课程清单!A:Q,10,0)="","",VLOOKUP(U10,课程清单!A:Q,10,0)),"")</f>
        <v>必修</v>
      </c>
      <c r="G10" s="11" t="str">
        <f>IFERROR(IF(VLOOKUP(U10,课程清单!A:Q,11,0)="","",VLOOKUP(U10,课程清单!A:Q,11,0)),"")</f>
        <v/>
      </c>
      <c r="H10" s="14">
        <f>IFERROR(IF(VLOOKUP(U10,课程清单!A:Q,12,0)="","",VLOOKUP(U10,课程清单!A:Q,12,0)),"")</f>
        <v>1</v>
      </c>
      <c r="I10" s="14">
        <f>IFERROR(IF(VLOOKUP(U10,课程清单!A:Q,13,0)="",0,VLOOKUP(U10,课程清单!A:Q,13,0)),"")</f>
        <v>20</v>
      </c>
      <c r="J10" s="14">
        <f>IFERROR(IF(VLOOKUP(U10,课程清单!A:Q,14,0)="",0,VLOOKUP(U10,课程清单!A:Q,14,0)),"")</f>
        <v>0</v>
      </c>
      <c r="K10" s="25">
        <f>IFERROR(IF(VLOOKUP(U10,课程清单!A:Q,15,0)="",0,VLOOKUP(U10,课程清单!A:Q,15,0)),"")</f>
        <v>20</v>
      </c>
      <c r="L10" s="26" t="str">
        <f>IFERROR(IF(VLOOKUP(U10,课程清单!A:Q,16,0)=$L$4,VLOOKUP(U10,课程清单!A:Q,17,0),""),"")</f>
        <v/>
      </c>
      <c r="M10" s="11" t="str">
        <f>IFERROR(IF(VLOOKUP(U10,课程清单!A:Q,16,0)=$M$4,VLOOKUP(U10,课程清单!A:Q,17,0),""),"")</f>
        <v/>
      </c>
      <c r="N10" s="98" t="str">
        <f>IFERROR(IF(VLOOKUP(U10,课程清单!A:Q,16,0)=$N$4,VLOOKUP(U10,课程清单!A:Q,17,0),""),"")</f>
        <v>+1</v>
      </c>
      <c r="O10" s="11" t="str">
        <f>IFERROR(IF(VLOOKUP(U10,课程清单!A:Q,16,0)=$O$4,VLOOKUP(U10,课程清单!A:Q,17,0),""),"")</f>
        <v/>
      </c>
      <c r="P10" s="11" t="str">
        <f>IFERROR(IF(VLOOKUP(U10,课程清单!A:Q,16,0)=$P$4,VLOOKUP(U10,课程清单!A:Q,17,0),""),"")</f>
        <v/>
      </c>
      <c r="Q10" s="11" t="str">
        <f>IFERROR(IF(VLOOKUP(U10,课程清单!A:Q,16,0)=$Q$4,VLOOKUP(U10,课程清单!A:Q,17,0),""),"")</f>
        <v/>
      </c>
      <c r="R10" s="11" t="str">
        <f>IFERROR(IF(VLOOKUP(U10,课程清单!A:Q,16,0)=$R$4,VLOOKUP(U10,课程清单!A:Q,17,0),""),"")</f>
        <v/>
      </c>
      <c r="S10" s="11" t="str">
        <f>IFERROR(IF(VLOOKUP(U10,课程清单!A:Q,16,0)=$S$4,VLOOKUP(U10,课程清单!A:Q,17,0),""),"")</f>
        <v/>
      </c>
      <c r="T10" s="7">
        <v>6</v>
      </c>
      <c r="U10" s="2" t="str">
        <f t="shared" si="13"/>
        <v>通识教育课程平台_思政类_6</v>
      </c>
      <c r="V10" s="7">
        <f t="shared" si="6"/>
        <v>6</v>
      </c>
      <c r="W10" s="7">
        <f t="shared" si="7"/>
        <v>0</v>
      </c>
      <c r="X10" s="7">
        <f t="shared" si="8"/>
        <v>0</v>
      </c>
      <c r="Y10" s="109">
        <f t="shared" si="9"/>
        <v>0</v>
      </c>
      <c r="Z10" s="109">
        <f t="shared" si="10"/>
        <v>0</v>
      </c>
      <c r="AA10" s="109">
        <f t="shared" si="11"/>
        <v>1</v>
      </c>
      <c r="AB10" s="109">
        <f t="shared" si="12"/>
        <v>20</v>
      </c>
    </row>
    <row r="11" spans="1:28" ht="25.5" customHeight="1" x14ac:dyDescent="0.3">
      <c r="A11" s="169"/>
      <c r="B11" s="169"/>
      <c r="C11" s="11">
        <v>7</v>
      </c>
      <c r="D11" s="12" t="str">
        <f>IFERROR(IF(VLOOKUP(U11,课程清单!A:Q,7,0)="","",VLOOKUP(U11,课程清单!A:Q,7,0)),"")</f>
        <v>053111P1</v>
      </c>
      <c r="E11" s="13" t="str">
        <f>IFERROR(VLOOKUP(U11,课程清单!A:Q,8,0)&amp;IF(VLOOKUP(U11,课程清单!A:Q,9,0)="","",CHAR(10)&amp;VLOOKUP(U11,课程清单!A:Q,9,0)),"")</f>
        <v>形势与政策（1）
Situation and Policy(I)</v>
      </c>
      <c r="F11" s="11" t="str">
        <f>IFERROR(IF(VLOOKUP(U11,课程清单!A:Q,10,0)="","",VLOOKUP(U11,课程清单!A:Q,10,0)),"")</f>
        <v>必修</v>
      </c>
      <c r="G11" s="11" t="str">
        <f>IFERROR(IF(VLOOKUP(U11,课程清单!A:Q,11,0)="","",VLOOKUP(U11,课程清单!A:Q,11,0)),"")</f>
        <v/>
      </c>
      <c r="H11" s="14">
        <f>IFERROR(IF(VLOOKUP(U11,课程清单!A:Q,12,0)="","",VLOOKUP(U11,课程清单!A:Q,12,0)),"")</f>
        <v>0.25</v>
      </c>
      <c r="I11" s="14">
        <f>IFERROR(IF(VLOOKUP(U11,课程清单!A:Q,13,0)="",0,VLOOKUP(U11,课程清单!A:Q,13,0)),"")</f>
        <v>4</v>
      </c>
      <c r="J11" s="14">
        <f>IFERROR(IF(VLOOKUP(U11,课程清单!A:Q,14,0)="",0,VLOOKUP(U11,课程清单!A:Q,14,0)),"")</f>
        <v>4</v>
      </c>
      <c r="K11" s="25">
        <f>IFERROR(IF(VLOOKUP(U11,课程清单!A:Q,15,0)="",0,VLOOKUP(U11,课程清单!A:Q,15,0)),"")</f>
        <v>0</v>
      </c>
      <c r="L11" s="26">
        <f>IFERROR(IF(VLOOKUP(U11,课程清单!A:Q,16,0)=$L$4,VLOOKUP(U11,课程清单!A:Q,17,0),""),"")</f>
        <v>2</v>
      </c>
      <c r="M11" s="11" t="str">
        <f>IFERROR(IF(VLOOKUP(U11,课程清单!A:Q,16,0)=$M$4,VLOOKUP(U11,课程清单!A:Q,17,0),""),"")</f>
        <v/>
      </c>
      <c r="N11" s="11" t="str">
        <f>IFERROR(IF(VLOOKUP(U11,课程清单!A:Q,16,0)=$N$4,VLOOKUP(U11,课程清单!A:Q,17,0),""),"")</f>
        <v/>
      </c>
      <c r="O11" s="11" t="str">
        <f>IFERROR(IF(VLOOKUP(U11,课程清单!A:Q,16,0)=$O$4,VLOOKUP(U11,课程清单!A:Q,17,0),""),"")</f>
        <v/>
      </c>
      <c r="P11" s="11" t="str">
        <f>IFERROR(IF(VLOOKUP(U11,课程清单!A:Q,16,0)=$P$4,VLOOKUP(U11,课程清单!A:Q,17,0),""),"")</f>
        <v/>
      </c>
      <c r="Q11" s="11" t="str">
        <f>IFERROR(IF(VLOOKUP(U11,课程清单!A:Q,16,0)=$Q$4,VLOOKUP(U11,课程清单!A:Q,17,0),""),"")</f>
        <v/>
      </c>
      <c r="R11" s="11" t="str">
        <f>IFERROR(IF(VLOOKUP(U11,课程清单!A:Q,16,0)=$R$4,VLOOKUP(U11,课程清单!A:Q,17,0),""),"")</f>
        <v/>
      </c>
      <c r="S11" s="11" t="str">
        <f>IFERROR(IF(VLOOKUP(U11,课程清单!A:Q,16,0)=$S$4,VLOOKUP(U11,课程清单!A:Q,17,0),""),"")</f>
        <v/>
      </c>
      <c r="T11" s="7">
        <v>7</v>
      </c>
      <c r="U11" s="2" t="str">
        <f t="shared" si="13"/>
        <v>通识教育课程平台_思政类_7</v>
      </c>
      <c r="V11" s="7">
        <f t="shared" si="6"/>
        <v>7</v>
      </c>
      <c r="W11" s="7">
        <f t="shared" si="7"/>
        <v>0.25</v>
      </c>
      <c r="X11" s="7">
        <f t="shared" si="8"/>
        <v>4</v>
      </c>
      <c r="Y11" s="109">
        <f t="shared" si="9"/>
        <v>0</v>
      </c>
      <c r="Z11" s="109">
        <f t="shared" si="10"/>
        <v>0</v>
      </c>
      <c r="AA11" s="109">
        <f t="shared" si="11"/>
        <v>0</v>
      </c>
      <c r="AB11" s="109">
        <f t="shared" si="12"/>
        <v>0</v>
      </c>
    </row>
    <row r="12" spans="1:28" ht="25.5" customHeight="1" x14ac:dyDescent="0.3">
      <c r="A12" s="169"/>
      <c r="B12" s="169"/>
      <c r="C12" s="11">
        <v>8</v>
      </c>
      <c r="D12" s="12" t="str">
        <f>IFERROR(IF(VLOOKUP(U12,课程清单!A:Q,7,0)="","",VLOOKUP(U12,课程清单!A:Q,7,0)),"")</f>
        <v>053111P2</v>
      </c>
      <c r="E12" s="13" t="str">
        <f>IFERROR(VLOOKUP(U12,课程清单!A:Q,8,0)&amp;IF(VLOOKUP(U12,课程清单!A:Q,9,0)="","",CHAR(10)&amp;VLOOKUP(U12,课程清单!A:Q,9,0)),"")</f>
        <v>形势与政策（2）
Situation and Policy(II)</v>
      </c>
      <c r="F12" s="11" t="str">
        <f>IFERROR(IF(VLOOKUP(U12,课程清单!A:Q,10,0)="","",VLOOKUP(U12,课程清单!A:Q,10,0)),"")</f>
        <v>必修</v>
      </c>
      <c r="G12" s="11" t="str">
        <f>IFERROR(IF(VLOOKUP(U12,课程清单!A:Q,11,0)="","",VLOOKUP(U12,课程清单!A:Q,11,0)),"")</f>
        <v/>
      </c>
      <c r="H12" s="14">
        <f>IFERROR(IF(VLOOKUP(U12,课程清单!A:Q,12,0)="","",VLOOKUP(U12,课程清单!A:Q,12,0)),"")</f>
        <v>0.25</v>
      </c>
      <c r="I12" s="14">
        <f>IFERROR(IF(VLOOKUP(U12,课程清单!A:Q,13,0)="",0,VLOOKUP(U12,课程清单!A:Q,13,0)),"")</f>
        <v>4</v>
      </c>
      <c r="J12" s="14">
        <f>IFERROR(IF(VLOOKUP(U12,课程清单!A:Q,14,0)="",0,VLOOKUP(U12,课程清单!A:Q,14,0)),"")</f>
        <v>4</v>
      </c>
      <c r="K12" s="25">
        <f>IFERROR(IF(VLOOKUP(U12,课程清单!A:Q,15,0)="",0,VLOOKUP(U12,课程清单!A:Q,15,0)),"")</f>
        <v>0</v>
      </c>
      <c r="L12" s="26" t="str">
        <f>IFERROR(IF(VLOOKUP(U12,课程清单!A:Q,16,0)=$L$4,VLOOKUP(U12,课程清单!A:Q,17,0),""),"")</f>
        <v/>
      </c>
      <c r="M12" s="11">
        <f>IFERROR(IF(VLOOKUP(U12,课程清单!A:Q,16,0)=$M$4,VLOOKUP(U12,课程清单!A:Q,17,0),""),"")</f>
        <v>2</v>
      </c>
      <c r="N12" s="11" t="str">
        <f>IFERROR(IF(VLOOKUP(U12,课程清单!A:Q,16,0)=$N$4,VLOOKUP(U12,课程清单!A:Q,17,0),""),"")</f>
        <v/>
      </c>
      <c r="O12" s="11" t="str">
        <f>IFERROR(IF(VLOOKUP(U12,课程清单!A:Q,16,0)=$O$4,VLOOKUP(U12,课程清单!A:Q,17,0),""),"")</f>
        <v/>
      </c>
      <c r="P12" s="11" t="str">
        <f>IFERROR(IF(VLOOKUP(U12,课程清单!A:Q,16,0)=$P$4,VLOOKUP(U12,课程清单!A:Q,17,0),""),"")</f>
        <v/>
      </c>
      <c r="Q12" s="11" t="str">
        <f>IFERROR(IF(VLOOKUP(U12,课程清单!A:Q,16,0)=$Q$4,VLOOKUP(U12,课程清单!A:Q,17,0),""),"")</f>
        <v/>
      </c>
      <c r="R12" s="11" t="str">
        <f>IFERROR(IF(VLOOKUP(U12,课程清单!A:Q,16,0)=$R$4,VLOOKUP(U12,课程清单!A:Q,17,0),""),"")</f>
        <v/>
      </c>
      <c r="S12" s="11" t="str">
        <f>IFERROR(IF(VLOOKUP(U12,课程清单!A:Q,16,0)=$S$4,VLOOKUP(U12,课程清单!A:Q,17,0),""),"")</f>
        <v/>
      </c>
      <c r="T12" s="7">
        <v>8</v>
      </c>
      <c r="U12" s="2" t="str">
        <f t="shared" si="13"/>
        <v>通识教育课程平台_思政类_8</v>
      </c>
      <c r="V12" s="7">
        <f t="shared" si="6"/>
        <v>8</v>
      </c>
      <c r="W12" s="7">
        <f t="shared" si="7"/>
        <v>0.25</v>
      </c>
      <c r="X12" s="7">
        <f t="shared" si="8"/>
        <v>4</v>
      </c>
      <c r="Y12" s="109">
        <f t="shared" si="9"/>
        <v>0</v>
      </c>
      <c r="Z12" s="109">
        <f t="shared" si="10"/>
        <v>0</v>
      </c>
      <c r="AA12" s="109">
        <f t="shared" si="11"/>
        <v>0</v>
      </c>
      <c r="AB12" s="109">
        <f t="shared" si="12"/>
        <v>0</v>
      </c>
    </row>
    <row r="13" spans="1:28" ht="25" customHeight="1" x14ac:dyDescent="0.3">
      <c r="A13" s="169"/>
      <c r="B13" s="169"/>
      <c r="C13" s="11">
        <v>9</v>
      </c>
      <c r="D13" s="12" t="str">
        <f>IFERROR(IF(VLOOKUP(U13,课程清单!A:Q,7,0)="","",VLOOKUP(U13,课程清单!A:Q,7,0)),"")</f>
        <v>053111P3</v>
      </c>
      <c r="E13" s="13" t="str">
        <f>IFERROR(VLOOKUP(U13,课程清单!A:Q,8,0)&amp;IF(VLOOKUP(U13,课程清单!A:Q,9,0)="","",CHAR(10)&amp;VLOOKUP(U13,课程清单!A:Q,9,0)),"")</f>
        <v>形势与政策（3）
Situation and Policy(III)</v>
      </c>
      <c r="F13" s="11" t="str">
        <f>IFERROR(IF(VLOOKUP(U13,课程清单!A:Q,10,0)="","",VLOOKUP(U13,课程清单!A:Q,10,0)),"")</f>
        <v>必修</v>
      </c>
      <c r="G13" s="11" t="str">
        <f>IFERROR(IF(VLOOKUP(U13,课程清单!A:Q,11,0)="","",VLOOKUP(U13,课程清单!A:Q,11,0)),"")</f>
        <v/>
      </c>
      <c r="H13" s="14">
        <f>IFERROR(IF(VLOOKUP(U13,课程清单!A:Q,12,0)="","",VLOOKUP(U13,课程清单!A:Q,12,0)),"")</f>
        <v>0.25</v>
      </c>
      <c r="I13" s="14">
        <f>IFERROR(IF(VLOOKUP(U13,课程清单!A:Q,13,0)="",0,VLOOKUP(U13,课程清单!A:Q,13,0)),"")</f>
        <v>4</v>
      </c>
      <c r="J13" s="14">
        <f>IFERROR(IF(VLOOKUP(U13,课程清单!A:Q,14,0)="",0,VLOOKUP(U13,课程清单!A:Q,14,0)),"")</f>
        <v>4</v>
      </c>
      <c r="K13" s="25">
        <f>IFERROR(IF(VLOOKUP(U13,课程清单!A:Q,15,0)="",0,VLOOKUP(U13,课程清单!A:Q,15,0)),"")</f>
        <v>0</v>
      </c>
      <c r="L13" s="26" t="str">
        <f>IFERROR(IF(VLOOKUP(U13,课程清单!A:Q,16,0)=$L$4,VLOOKUP(U13,课程清单!A:Q,17,0),""),"")</f>
        <v/>
      </c>
      <c r="M13" s="11" t="str">
        <f>IFERROR(IF(VLOOKUP(U13,课程清单!A:Q,16,0)=$M$4,VLOOKUP(U13,课程清单!A:Q,17,0),""),"")</f>
        <v/>
      </c>
      <c r="N13" s="11">
        <f>IFERROR(IF(VLOOKUP(U13,课程清单!A:Q,16,0)=$N$4,VLOOKUP(U13,课程清单!A:Q,17,0),""),"")</f>
        <v>2</v>
      </c>
      <c r="O13" s="11" t="str">
        <f>IFERROR(IF(VLOOKUP(U13,课程清单!A:Q,16,0)=$O$4,VLOOKUP(U13,课程清单!A:Q,17,0),""),"")</f>
        <v/>
      </c>
      <c r="P13" s="11" t="str">
        <f>IFERROR(IF(VLOOKUP(U13,课程清单!A:Q,16,0)=$P$4,VLOOKUP(U13,课程清单!A:Q,17,0),""),"")</f>
        <v/>
      </c>
      <c r="Q13" s="11" t="str">
        <f>IFERROR(IF(VLOOKUP(U13,课程清单!A:Q,16,0)=$Q$4,VLOOKUP(U13,课程清单!A:Q,17,0),""),"")</f>
        <v/>
      </c>
      <c r="R13" s="11" t="str">
        <f>IFERROR(IF(VLOOKUP(U13,课程清单!A:Q,16,0)=$R$4,VLOOKUP(U13,课程清单!A:Q,17,0),""),"")</f>
        <v/>
      </c>
      <c r="S13" s="11" t="str">
        <f>IFERROR(IF(VLOOKUP(U13,课程清单!A:Q,16,0)=$S$4,VLOOKUP(U13,课程清单!A:Q,17,0),""),"")</f>
        <v/>
      </c>
      <c r="T13" s="7">
        <v>9</v>
      </c>
      <c r="U13" s="2" t="str">
        <f t="shared" si="13"/>
        <v>通识教育课程平台_思政类_9</v>
      </c>
      <c r="V13" s="7">
        <f t="shared" si="6"/>
        <v>9</v>
      </c>
      <c r="W13" s="7">
        <f t="shared" si="7"/>
        <v>0.25</v>
      </c>
      <c r="X13" s="7">
        <f t="shared" si="8"/>
        <v>4</v>
      </c>
      <c r="Y13" s="109">
        <f t="shared" si="9"/>
        <v>0</v>
      </c>
      <c r="Z13" s="109">
        <f t="shared" si="10"/>
        <v>0</v>
      </c>
      <c r="AA13" s="109">
        <f t="shared" si="11"/>
        <v>0</v>
      </c>
      <c r="AB13" s="109">
        <f t="shared" si="12"/>
        <v>0</v>
      </c>
    </row>
    <row r="14" spans="1:28" ht="25" customHeight="1" x14ac:dyDescent="0.3">
      <c r="A14" s="169"/>
      <c r="B14" s="169"/>
      <c r="C14" s="11">
        <v>10</v>
      </c>
      <c r="D14" s="12" t="str">
        <f>IFERROR(IF(VLOOKUP(U14,课程清单!A:Q,7,0)="","",VLOOKUP(U14,课程清单!A:Q,7,0)),"")</f>
        <v>053111P4</v>
      </c>
      <c r="E14" s="13" t="str">
        <f>IFERROR(VLOOKUP(U14,课程清单!A:Q,8,0)&amp;IF(VLOOKUP(U14,课程清单!A:Q,9,0)="","",CHAR(10)&amp;VLOOKUP(U14,课程清单!A:Q,9,0)),"")</f>
        <v>形势与政策（4）
Situation and Policy(IV)</v>
      </c>
      <c r="F14" s="11" t="str">
        <f>IFERROR(IF(VLOOKUP(U14,课程清单!A:Q,10,0)="","",VLOOKUP(U14,课程清单!A:Q,10,0)),"")</f>
        <v>必修</v>
      </c>
      <c r="G14" s="11" t="str">
        <f>IFERROR(IF(VLOOKUP(U14,课程清单!A:Q,11,0)="","",VLOOKUP(U14,课程清单!A:Q,11,0)),"")</f>
        <v/>
      </c>
      <c r="H14" s="14">
        <f>IFERROR(IF(VLOOKUP(U14,课程清单!A:Q,12,0)="","",VLOOKUP(U14,课程清单!A:Q,12,0)),"")</f>
        <v>0.25</v>
      </c>
      <c r="I14" s="14">
        <f>IFERROR(IF(VLOOKUP(U14,课程清单!A:Q,13,0)="",0,VLOOKUP(U14,课程清单!A:Q,13,0)),"")</f>
        <v>4</v>
      </c>
      <c r="J14" s="14">
        <f>IFERROR(IF(VLOOKUP(U14,课程清单!A:Q,14,0)="",0,VLOOKUP(U14,课程清单!A:Q,14,0)),"")</f>
        <v>4</v>
      </c>
      <c r="K14" s="25">
        <f>IFERROR(IF(VLOOKUP(U14,课程清单!A:Q,15,0)="",0,VLOOKUP(U14,课程清单!A:Q,15,0)),"")</f>
        <v>0</v>
      </c>
      <c r="L14" s="26" t="str">
        <f>IFERROR(IF(VLOOKUP(U14,课程清单!A:Q,16,0)=$L$4,VLOOKUP(U14,课程清单!A:Q,17,0),""),"")</f>
        <v/>
      </c>
      <c r="M14" s="11" t="str">
        <f>IFERROR(IF(VLOOKUP(U14,课程清单!A:Q,16,0)=$M$4,VLOOKUP(U14,课程清单!A:Q,17,0),""),"")</f>
        <v/>
      </c>
      <c r="N14" s="11" t="str">
        <f>IFERROR(IF(VLOOKUP(U14,课程清单!A:Q,16,0)=$N$4,VLOOKUP(U14,课程清单!A:Q,17,0),""),"")</f>
        <v/>
      </c>
      <c r="O14" s="11">
        <f>IFERROR(IF(VLOOKUP(U14,课程清单!A:Q,16,0)=$O$4,VLOOKUP(U14,课程清单!A:Q,17,0),""),"")</f>
        <v>2</v>
      </c>
      <c r="P14" s="11" t="str">
        <f>IFERROR(IF(VLOOKUP(U14,课程清单!A:Q,16,0)=$P$4,VLOOKUP(U14,课程清单!A:Q,17,0),""),"")</f>
        <v/>
      </c>
      <c r="Q14" s="11" t="str">
        <f>IFERROR(IF(VLOOKUP(U14,课程清单!A:Q,16,0)=$Q$4,VLOOKUP(U14,课程清单!A:Q,17,0),""),"")</f>
        <v/>
      </c>
      <c r="R14" s="11" t="str">
        <f>IFERROR(IF(VLOOKUP(U14,课程清单!A:Q,16,0)=$R$4,VLOOKUP(U14,课程清单!A:Q,17,0),""),"")</f>
        <v/>
      </c>
      <c r="S14" s="11" t="str">
        <f>IFERROR(IF(VLOOKUP(U14,课程清单!A:Q,16,0)=$S$4,VLOOKUP(U14,课程清单!A:Q,17,0),""),"")</f>
        <v/>
      </c>
      <c r="T14" s="7">
        <v>10</v>
      </c>
      <c r="U14" s="2" t="str">
        <f t="shared" si="13"/>
        <v>通识教育课程平台_思政类_10</v>
      </c>
      <c r="V14" s="7">
        <f t="shared" si="6"/>
        <v>10</v>
      </c>
      <c r="W14" s="7">
        <f t="shared" si="7"/>
        <v>0.25</v>
      </c>
      <c r="X14" s="7">
        <f t="shared" si="8"/>
        <v>4</v>
      </c>
      <c r="Y14" s="109">
        <f t="shared" si="9"/>
        <v>0</v>
      </c>
      <c r="Z14" s="109">
        <f t="shared" si="10"/>
        <v>0</v>
      </c>
      <c r="AA14" s="109">
        <f t="shared" si="11"/>
        <v>0</v>
      </c>
      <c r="AB14" s="109">
        <f t="shared" si="12"/>
        <v>0</v>
      </c>
    </row>
    <row r="15" spans="1:28" ht="25" customHeight="1" x14ac:dyDescent="0.3">
      <c r="A15" s="169"/>
      <c r="B15" s="169"/>
      <c r="C15" s="11">
        <v>11</v>
      </c>
      <c r="D15" s="12" t="str">
        <f>IFERROR(IF(VLOOKUP(U15,课程清单!A:Q,7,0)="","",VLOOKUP(U15,课程清单!A:Q,7,0)),"")</f>
        <v>053111P5</v>
      </c>
      <c r="E15" s="13" t="str">
        <f>IFERROR(VLOOKUP(U15,课程清单!A:Q,8,0)&amp;IF(VLOOKUP(U15,课程清单!A:Q,9,0)="","",CHAR(10)&amp;VLOOKUP(U15,课程清单!A:Q,9,0)),"")</f>
        <v>形势与政策（5）
Situation and Policy(V)</v>
      </c>
      <c r="F15" s="11" t="str">
        <f>IFERROR(IF(VLOOKUP(U15,课程清单!A:Q,10,0)="","",VLOOKUP(U15,课程清单!A:Q,10,0)),"")</f>
        <v>必修</v>
      </c>
      <c r="G15" s="11" t="str">
        <f>IFERROR(IF(VLOOKUP(U15,课程清单!A:Q,11,0)="","",VLOOKUP(U15,课程清单!A:Q,11,0)),"")</f>
        <v/>
      </c>
      <c r="H15" s="14">
        <f>IFERROR(IF(VLOOKUP(U15,课程清单!A:Q,12,0)="","",VLOOKUP(U15,课程清单!A:Q,12,0)),"")</f>
        <v>0.25</v>
      </c>
      <c r="I15" s="14">
        <f>IFERROR(IF(VLOOKUP(U15,课程清单!A:Q,13,0)="",0,VLOOKUP(U15,课程清单!A:Q,13,0)),"")</f>
        <v>4</v>
      </c>
      <c r="J15" s="14">
        <f>IFERROR(IF(VLOOKUP(U15,课程清单!A:Q,14,0)="",0,VLOOKUP(U15,课程清单!A:Q,14,0)),"")</f>
        <v>4</v>
      </c>
      <c r="K15" s="25">
        <f>IFERROR(IF(VLOOKUP(U15,课程清单!A:Q,15,0)="",0,VLOOKUP(U15,课程清单!A:Q,15,0)),"")</f>
        <v>0</v>
      </c>
      <c r="L15" s="26" t="str">
        <f>IFERROR(IF(VLOOKUP(U15,课程清单!A:Q,16,0)=$L$4,VLOOKUP(U15,课程清单!A:Q,17,0),""),"")</f>
        <v/>
      </c>
      <c r="M15" s="11" t="str">
        <f>IFERROR(IF(VLOOKUP(U15,课程清单!A:Q,16,0)=$M$4,VLOOKUP(U15,课程清单!A:Q,17,0),""),"")</f>
        <v/>
      </c>
      <c r="N15" s="11" t="str">
        <f>IFERROR(IF(VLOOKUP(U15,课程清单!A:Q,16,0)=$N$4,VLOOKUP(U15,课程清单!A:Q,17,0),""),"")</f>
        <v/>
      </c>
      <c r="O15" s="11" t="str">
        <f>IFERROR(IF(VLOOKUP(U15,课程清单!A:Q,16,0)=$O$4,VLOOKUP(U15,课程清单!A:Q,17,0),""),"")</f>
        <v/>
      </c>
      <c r="P15" s="11">
        <f>IFERROR(IF(VLOOKUP(U15,课程清单!A:Q,16,0)=$P$4,VLOOKUP(U15,课程清单!A:Q,17,0),""),"")</f>
        <v>2</v>
      </c>
      <c r="Q15" s="11" t="str">
        <f>IFERROR(IF(VLOOKUP(U15,课程清单!A:Q,16,0)=$Q$4,VLOOKUP(U15,课程清单!A:Q,17,0),""),"")</f>
        <v/>
      </c>
      <c r="R15" s="11" t="str">
        <f>IFERROR(IF(VLOOKUP(U15,课程清单!A:Q,16,0)=$R$4,VLOOKUP(U15,课程清单!A:Q,17,0),""),"")</f>
        <v/>
      </c>
      <c r="S15" s="11" t="str">
        <f>IFERROR(IF(VLOOKUP(U15,课程清单!A:Q,16,0)=$S$4,VLOOKUP(U15,课程清单!A:Q,17,0),""),"")</f>
        <v/>
      </c>
      <c r="T15" s="7">
        <v>11</v>
      </c>
      <c r="U15" s="2" t="str">
        <f t="shared" si="13"/>
        <v>通识教育课程平台_思政类_11</v>
      </c>
      <c r="V15" s="7">
        <f t="shared" si="6"/>
        <v>11</v>
      </c>
      <c r="W15" s="7">
        <f t="shared" si="7"/>
        <v>0.25</v>
      </c>
      <c r="X15" s="7">
        <f t="shared" si="8"/>
        <v>4</v>
      </c>
      <c r="Y15" s="109">
        <f t="shared" si="9"/>
        <v>0</v>
      </c>
      <c r="Z15" s="109">
        <f t="shared" si="10"/>
        <v>0</v>
      </c>
      <c r="AA15" s="109">
        <f t="shared" si="11"/>
        <v>0</v>
      </c>
      <c r="AB15" s="109">
        <f t="shared" si="12"/>
        <v>0</v>
      </c>
    </row>
    <row r="16" spans="1:28" ht="25" customHeight="1" x14ac:dyDescent="0.3">
      <c r="A16" s="169"/>
      <c r="B16" s="169"/>
      <c r="C16" s="11">
        <v>12</v>
      </c>
      <c r="D16" s="12" t="str">
        <f>IFERROR(IF(VLOOKUP(U16,课程清单!A:Q,7,0)="","",VLOOKUP(U16,课程清单!A:Q,7,0)),"")</f>
        <v>053111P6</v>
      </c>
      <c r="E16" s="13" t="str">
        <f>IFERROR(VLOOKUP(U16,课程清单!A:Q,8,0)&amp;IF(VLOOKUP(U16,课程清单!A:Q,9,0)="","",CHAR(10)&amp;VLOOKUP(U16,课程清单!A:Q,9,0)),"")</f>
        <v>形势与政策（6）
Situation and Policy(VI)</v>
      </c>
      <c r="F16" s="11" t="str">
        <f>IFERROR(IF(VLOOKUP(U16,课程清单!A:Q,10,0)="","",VLOOKUP(U16,课程清单!A:Q,10,0)),"")</f>
        <v>必修</v>
      </c>
      <c r="G16" s="11" t="str">
        <f>IFERROR(IF(VLOOKUP(U16,课程清单!A:Q,11,0)="","",VLOOKUP(U16,课程清单!A:Q,11,0)),"")</f>
        <v/>
      </c>
      <c r="H16" s="14">
        <f>IFERROR(IF(VLOOKUP(U16,课程清单!A:Q,12,0)="","",VLOOKUP(U16,课程清单!A:Q,12,0)),"")</f>
        <v>0.25</v>
      </c>
      <c r="I16" s="14">
        <f>IFERROR(IF(VLOOKUP(U16,课程清单!A:Q,13,0)="",0,VLOOKUP(U16,课程清单!A:Q,13,0)),"")</f>
        <v>4</v>
      </c>
      <c r="J16" s="14">
        <f>IFERROR(IF(VLOOKUP(U16,课程清单!A:Q,14,0)="",0,VLOOKUP(U16,课程清单!A:Q,14,0)),"")</f>
        <v>4</v>
      </c>
      <c r="K16" s="25">
        <f>IFERROR(IF(VLOOKUP(U16,课程清单!A:Q,15,0)="",0,VLOOKUP(U16,课程清单!A:Q,15,0)),"")</f>
        <v>0</v>
      </c>
      <c r="L16" s="26" t="str">
        <f>IFERROR(IF(VLOOKUP(U16,课程清单!A:Q,16,0)=$L$4,VLOOKUP(U16,课程清单!A:Q,17,0),""),"")</f>
        <v/>
      </c>
      <c r="M16" s="11" t="str">
        <f>IFERROR(IF(VLOOKUP(U16,课程清单!A:Q,16,0)=$M$4,VLOOKUP(U16,课程清单!A:Q,17,0),""),"")</f>
        <v/>
      </c>
      <c r="N16" s="11" t="str">
        <f>IFERROR(IF(VLOOKUP(U16,课程清单!A:Q,16,0)=$N$4,VLOOKUP(U16,课程清单!A:Q,17,0),""),"")</f>
        <v/>
      </c>
      <c r="O16" s="11" t="str">
        <f>IFERROR(IF(VLOOKUP(U16,课程清单!A:Q,16,0)=$O$4,VLOOKUP(U16,课程清单!A:Q,17,0),""),"")</f>
        <v/>
      </c>
      <c r="P16" s="11" t="str">
        <f>IFERROR(IF(VLOOKUP(U16,课程清单!A:Q,16,0)=$P$4,VLOOKUP(U16,课程清单!A:Q,17,0),""),"")</f>
        <v/>
      </c>
      <c r="Q16" s="11">
        <f>IFERROR(IF(VLOOKUP(U16,课程清单!A:Q,16,0)=$Q$4,VLOOKUP(U16,课程清单!A:Q,17,0),""),"")</f>
        <v>2</v>
      </c>
      <c r="R16" s="11" t="str">
        <f>IFERROR(IF(VLOOKUP(U16,课程清单!A:Q,16,0)=$R$4,VLOOKUP(U16,课程清单!A:Q,17,0),""),"")</f>
        <v/>
      </c>
      <c r="S16" s="11" t="str">
        <f>IFERROR(IF(VLOOKUP(U16,课程清单!A:Q,16,0)=$S$4,VLOOKUP(U16,课程清单!A:Q,17,0),""),"")</f>
        <v/>
      </c>
      <c r="T16" s="7">
        <v>12</v>
      </c>
      <c r="U16" s="2" t="str">
        <f t="shared" si="13"/>
        <v>通识教育课程平台_思政类_12</v>
      </c>
      <c r="V16" s="7">
        <f t="shared" si="6"/>
        <v>12</v>
      </c>
      <c r="W16" s="7">
        <f t="shared" si="7"/>
        <v>0.25</v>
      </c>
      <c r="X16" s="7">
        <f t="shared" si="8"/>
        <v>4</v>
      </c>
      <c r="Y16" s="109">
        <f t="shared" si="9"/>
        <v>0</v>
      </c>
      <c r="Z16" s="109">
        <f t="shared" si="10"/>
        <v>0</v>
      </c>
      <c r="AA16" s="109">
        <f t="shared" si="11"/>
        <v>0</v>
      </c>
      <c r="AB16" s="109">
        <f t="shared" si="12"/>
        <v>0</v>
      </c>
    </row>
    <row r="17" spans="1:28" ht="25" customHeight="1" x14ac:dyDescent="0.3">
      <c r="A17" s="169"/>
      <c r="B17" s="169"/>
      <c r="C17" s="11">
        <v>13</v>
      </c>
      <c r="D17" s="12" t="str">
        <f>IFERROR(IF(VLOOKUP(U17,课程清单!A:Q,7,0)="","",VLOOKUP(U17,课程清单!A:Q,7,0)),"")</f>
        <v>053111P7</v>
      </c>
      <c r="E17" s="13" t="str">
        <f>IFERROR(VLOOKUP(U17,课程清单!A:Q,8,0)&amp;IF(VLOOKUP(U17,课程清单!A:Q,9,0)="","",CHAR(10)&amp;VLOOKUP(U17,课程清单!A:Q,9,0)),"")</f>
        <v>形势与政策（7）
Situation and Policy(VII)</v>
      </c>
      <c r="F17" s="11" t="str">
        <f>IFERROR(IF(VLOOKUP(U17,课程清单!A:Q,10,0)="","",VLOOKUP(U17,课程清单!A:Q,10,0)),"")</f>
        <v>必修</v>
      </c>
      <c r="G17" s="11" t="str">
        <f>IFERROR(IF(VLOOKUP(U17,课程清单!A:Q,11,0)="","",VLOOKUP(U17,课程清单!A:Q,11,0)),"")</f>
        <v/>
      </c>
      <c r="H17" s="14">
        <f>IFERROR(IF(VLOOKUP(U17,课程清单!A:Q,12,0)="","",VLOOKUP(U17,课程清单!A:Q,12,0)),"")</f>
        <v>0.25</v>
      </c>
      <c r="I17" s="14">
        <f>IFERROR(IF(VLOOKUP(U17,课程清单!A:Q,13,0)="",0,VLOOKUP(U17,课程清单!A:Q,13,0)),"")</f>
        <v>4</v>
      </c>
      <c r="J17" s="14">
        <f>IFERROR(IF(VLOOKUP(U17,课程清单!A:Q,14,0)="",0,VLOOKUP(U17,课程清单!A:Q,14,0)),"")</f>
        <v>4</v>
      </c>
      <c r="K17" s="25">
        <f>IFERROR(IF(VLOOKUP(U17,课程清单!A:Q,15,0)="",0,VLOOKUP(U17,课程清单!A:Q,15,0)),"")</f>
        <v>0</v>
      </c>
      <c r="L17" s="26" t="str">
        <f>IFERROR(IF(VLOOKUP(U17,课程清单!A:Q,16,0)=$L$4,VLOOKUP(U17,课程清单!A:Q,17,0),""),"")</f>
        <v/>
      </c>
      <c r="M17" s="11" t="str">
        <f>IFERROR(IF(VLOOKUP(U17,课程清单!A:Q,16,0)=$M$4,VLOOKUP(U17,课程清单!A:Q,17,0),""),"")</f>
        <v/>
      </c>
      <c r="N17" s="11" t="str">
        <f>IFERROR(IF(VLOOKUP(U17,课程清单!A:Q,16,0)=$N$4,VLOOKUP(U17,课程清单!A:Q,17,0),""),"")</f>
        <v/>
      </c>
      <c r="O17" s="11" t="str">
        <f>IFERROR(IF(VLOOKUP(U17,课程清单!A:Q,16,0)=$O$4,VLOOKUP(U17,课程清单!A:Q,17,0),""),"")</f>
        <v/>
      </c>
      <c r="P17" s="11" t="str">
        <f>IFERROR(IF(VLOOKUP(U17,课程清单!A:Q,16,0)=$P$4,VLOOKUP(U17,课程清单!A:Q,17,0),""),"")</f>
        <v/>
      </c>
      <c r="Q17" s="11" t="str">
        <f>IFERROR(IF(VLOOKUP(U17,课程清单!A:Q,16,0)=$Q$4,VLOOKUP(U17,课程清单!A:Q,17,0),""),"")</f>
        <v/>
      </c>
      <c r="R17" s="11">
        <f>IFERROR(IF(VLOOKUP(U17,课程清单!A:Q,16,0)=$R$4,VLOOKUP(U17,课程清单!A:Q,17,0),""),"")</f>
        <v>2</v>
      </c>
      <c r="S17" s="11" t="str">
        <f>IFERROR(IF(VLOOKUP(U17,课程清单!A:Q,16,0)=$S$4,VLOOKUP(U17,课程清单!A:Q,17,0),""),"")</f>
        <v/>
      </c>
      <c r="T17" s="7">
        <v>13</v>
      </c>
      <c r="U17" s="2" t="str">
        <f t="shared" si="13"/>
        <v>通识教育课程平台_思政类_13</v>
      </c>
      <c r="V17" s="7">
        <f t="shared" si="6"/>
        <v>13</v>
      </c>
      <c r="W17" s="7">
        <f t="shared" si="7"/>
        <v>0.25</v>
      </c>
      <c r="X17" s="7">
        <f t="shared" si="8"/>
        <v>4</v>
      </c>
      <c r="Y17" s="109">
        <f t="shared" si="9"/>
        <v>0</v>
      </c>
      <c r="Z17" s="109">
        <f t="shared" si="10"/>
        <v>0</v>
      </c>
      <c r="AA17" s="109">
        <f t="shared" si="11"/>
        <v>0</v>
      </c>
      <c r="AB17" s="109">
        <f t="shared" si="12"/>
        <v>0</v>
      </c>
    </row>
    <row r="18" spans="1:28" ht="25" customHeight="1" x14ac:dyDescent="0.3">
      <c r="A18" s="169"/>
      <c r="B18" s="169"/>
      <c r="C18" s="11">
        <v>14</v>
      </c>
      <c r="D18" s="12" t="str">
        <f>IFERROR(IF(VLOOKUP(U18,课程清单!A:Q,7,0)="","",VLOOKUP(U18,课程清单!A:Q,7,0)),"")</f>
        <v>053111P8</v>
      </c>
      <c r="E18" s="13" t="str">
        <f>IFERROR(VLOOKUP(U18,课程清单!A:Q,8,0)&amp;IF(VLOOKUP(U18,课程清单!A:Q,9,0)="","",CHAR(10)&amp;VLOOKUP(U18,课程清单!A:Q,9,0)),"")</f>
        <v>形势与政策（8）
Situation and Policy(VIII)</v>
      </c>
      <c r="F18" s="11" t="str">
        <f>IFERROR(IF(VLOOKUP(U18,课程清单!A:Q,10,0)="","",VLOOKUP(U18,课程清单!A:Q,10,0)),"")</f>
        <v>必修</v>
      </c>
      <c r="G18" s="11" t="str">
        <f>IFERROR(IF(VLOOKUP(U18,课程清单!A:Q,11,0)="","",VLOOKUP(U18,课程清单!A:Q,11,0)),"")</f>
        <v/>
      </c>
      <c r="H18" s="14">
        <f>IFERROR(IF(VLOOKUP(U18,课程清单!A:Q,12,0)="","",VLOOKUP(U18,课程清单!A:Q,12,0)),"")</f>
        <v>0.25</v>
      </c>
      <c r="I18" s="14">
        <f>IFERROR(IF(VLOOKUP(U18,课程清单!A:Q,13,0)="",0,VLOOKUP(U18,课程清单!A:Q,13,0)),"")</f>
        <v>4</v>
      </c>
      <c r="J18" s="14">
        <f>IFERROR(IF(VLOOKUP(U18,课程清单!A:Q,14,0)="",0,VLOOKUP(U18,课程清单!A:Q,14,0)),"")</f>
        <v>4</v>
      </c>
      <c r="K18" s="25">
        <f>IFERROR(IF(VLOOKUP(U18,课程清单!A:Q,15,0)="",0,VLOOKUP(U18,课程清单!A:Q,15,0)),"")</f>
        <v>0</v>
      </c>
      <c r="L18" s="26" t="str">
        <f>IFERROR(IF(VLOOKUP(U18,课程清单!A:Q,16,0)=$L$4,VLOOKUP(U18,课程清单!A:Q,17,0),""),"")</f>
        <v/>
      </c>
      <c r="M18" s="11" t="str">
        <f>IFERROR(IF(VLOOKUP(U18,课程清单!A:Q,16,0)=$M$4,VLOOKUP(U18,课程清单!A:Q,17,0),""),"")</f>
        <v/>
      </c>
      <c r="N18" s="11" t="str">
        <f>IFERROR(IF(VLOOKUP(U18,课程清单!A:Q,16,0)=$N$4,VLOOKUP(U18,课程清单!A:Q,17,0),""),"")</f>
        <v/>
      </c>
      <c r="O18" s="11" t="str">
        <f>IFERROR(IF(VLOOKUP(U18,课程清单!A:Q,16,0)=$O$4,VLOOKUP(U18,课程清单!A:Q,17,0),""),"")</f>
        <v/>
      </c>
      <c r="P18" s="11" t="str">
        <f>IFERROR(IF(VLOOKUP(U18,课程清单!A:Q,16,0)=$P$4,VLOOKUP(U18,课程清单!A:Q,17,0),""),"")</f>
        <v/>
      </c>
      <c r="Q18" s="11" t="str">
        <f>IFERROR(IF(VLOOKUP(U18,课程清单!A:Q,16,0)=$Q$4,VLOOKUP(U18,课程清单!A:Q,17,0),""),"")</f>
        <v/>
      </c>
      <c r="R18" s="11" t="str">
        <f>IFERROR(IF(VLOOKUP(U18,课程清单!A:Q,16,0)=$R$4,VLOOKUP(U18,课程清单!A:Q,17,0),""),"")</f>
        <v/>
      </c>
      <c r="S18" s="11">
        <f>IFERROR(IF(VLOOKUP(U18,课程清单!A:Q,16,0)=$S$4,VLOOKUP(U18,课程清单!A:Q,17,0),""),"")</f>
        <v>2</v>
      </c>
      <c r="T18" s="7">
        <v>14</v>
      </c>
      <c r="U18" s="2" t="str">
        <f t="shared" ref="U18:U19" si="14">"通识教育课程平台_思政类_"&amp;T18</f>
        <v>通识教育课程平台_思政类_14</v>
      </c>
      <c r="V18" s="7">
        <f t="shared" si="6"/>
        <v>14</v>
      </c>
      <c r="W18" s="7">
        <f t="shared" si="7"/>
        <v>0.25</v>
      </c>
      <c r="X18" s="7">
        <f t="shared" si="8"/>
        <v>4</v>
      </c>
      <c r="Y18" s="109">
        <f t="shared" si="9"/>
        <v>0</v>
      </c>
      <c r="Z18" s="109">
        <f t="shared" si="10"/>
        <v>0</v>
      </c>
      <c r="AA18" s="109">
        <f t="shared" si="11"/>
        <v>0</v>
      </c>
      <c r="AB18" s="109">
        <f t="shared" si="12"/>
        <v>0</v>
      </c>
    </row>
    <row r="19" spans="1:28" ht="48" x14ac:dyDescent="0.3">
      <c r="A19" s="169"/>
      <c r="B19" s="169"/>
      <c r="C19" s="11">
        <v>15</v>
      </c>
      <c r="D19" s="12" t="str">
        <f>IFERROR(IF(VLOOKUP(U19,课程清单!A:Q,7,0)="","",VLOOKUP(U19,课程清单!A:Q,7,0)),"")</f>
        <v>见“四史”课程一览表</v>
      </c>
      <c r="E19" s="13" t="str">
        <f>IFERROR(VLOOKUP(U19,课程清单!A:Q,8,0)&amp;IF(VLOOKUP(U19,课程清单!A:Q,9,0)="","",CHAR(10)&amp;VLOOKUP(U19,课程清单!A:Q,9,0)),"")</f>
        <v>“四史”课程
Histories of the Communist Party of China，People's Republic of China，the Reform and Opening-up，and the Socialist  Development</v>
      </c>
      <c r="F19" s="11" t="str">
        <f>IFERROR(IF(VLOOKUP(U19,课程清单!A:Q,10,0)="","",VLOOKUP(U19,课程清单!A:Q,10,0)),"")</f>
        <v>限选</v>
      </c>
      <c r="G19" s="11" t="str">
        <f>IFERROR(IF(VLOOKUP(U19,课程清单!A:Q,11,0)="","",VLOOKUP(U19,课程清单!A:Q,11,0)),"")</f>
        <v/>
      </c>
      <c r="H19" s="14">
        <f>IFERROR(IF(VLOOKUP(U19,课程清单!A:Q,12,0)="","",VLOOKUP(U19,课程清单!A:Q,12,0)),"")</f>
        <v>1</v>
      </c>
      <c r="I19" s="14">
        <f>IFERROR(IF(VLOOKUP(U19,课程清单!A:Q,13,0)="",0,VLOOKUP(U19,课程清单!A:Q,13,0)),"")</f>
        <v>16</v>
      </c>
      <c r="J19" s="14">
        <f>IFERROR(IF(VLOOKUP(U19,课程清单!A:Q,14,0)="",0,VLOOKUP(U19,课程清单!A:Q,14,0)),"")</f>
        <v>16</v>
      </c>
      <c r="K19" s="25">
        <f>IFERROR(IF(VLOOKUP(U19,课程清单!A:Q,15,0)="",0,VLOOKUP(U19,课程清单!A:Q,15,0)),"")</f>
        <v>0</v>
      </c>
      <c r="L19" s="26" t="str">
        <f>IFERROR(IF(VLOOKUP(U19,课程清单!A:Q,16,0)=$L$4,VLOOKUP(U19,课程清单!A:Q,17,0),""),"")</f>
        <v/>
      </c>
      <c r="M19" s="11" t="str">
        <f>IFERROR(IF(VLOOKUP(U19,课程清单!A:Q,16,0)=$M$4,VLOOKUP(U19,课程清单!A:Q,17,0),""),"")</f>
        <v/>
      </c>
      <c r="N19" s="11" t="str">
        <f>IFERROR(IF(VLOOKUP(U19,课程清单!A:Q,16,0)=$N$4,VLOOKUP(U19,课程清单!A:Q,17,0),""),"")</f>
        <v/>
      </c>
      <c r="O19" s="11" t="str">
        <f>IFERROR(IF(VLOOKUP(U19,课程清单!A:Q,16,0)=$O$4,VLOOKUP(U19,课程清单!A:Q,17,0),""),"")</f>
        <v/>
      </c>
      <c r="P19" s="11" t="str">
        <f>IFERROR(IF(VLOOKUP(U19,课程清单!A:Q,16,0)=$P$4,VLOOKUP(U19,课程清单!A:Q,17,0),""),"")</f>
        <v/>
      </c>
      <c r="Q19" s="11" t="str">
        <f>IFERROR(IF(VLOOKUP(U19,课程清单!A:Q,16,0)=$Q$4,VLOOKUP(U19,课程清单!A:Q,17,0),""),"")</f>
        <v/>
      </c>
      <c r="R19" s="11" t="str">
        <f>IFERROR(IF(VLOOKUP(U19,课程清单!A:Q,16,0)=$R$4,VLOOKUP(U19,课程清单!A:Q,17,0),""),"")</f>
        <v/>
      </c>
      <c r="S19" s="11" t="str">
        <f>IFERROR(IF(VLOOKUP(U19,课程清单!A:Q,16,0)=$S$4,VLOOKUP(U19,课程清单!A:Q,17,0),""),"")</f>
        <v/>
      </c>
      <c r="T19" s="7">
        <v>15</v>
      </c>
      <c r="U19" s="2" t="str">
        <f t="shared" si="14"/>
        <v>通识教育课程平台_思政类_15</v>
      </c>
      <c r="V19" s="7">
        <f t="shared" si="6"/>
        <v>15</v>
      </c>
      <c r="W19" s="7">
        <f t="shared" si="7"/>
        <v>1</v>
      </c>
      <c r="X19" s="7">
        <f t="shared" si="8"/>
        <v>16</v>
      </c>
      <c r="Y19" s="109">
        <f t="shared" si="9"/>
        <v>0</v>
      </c>
      <c r="Z19" s="109">
        <f t="shared" si="10"/>
        <v>0</v>
      </c>
      <c r="AA19" s="109">
        <f t="shared" si="11"/>
        <v>0</v>
      </c>
      <c r="AB19" s="109">
        <f t="shared" si="12"/>
        <v>0</v>
      </c>
    </row>
    <row r="20" spans="1:28" ht="25" customHeight="1" x14ac:dyDescent="0.3">
      <c r="A20" s="169"/>
      <c r="B20" s="170"/>
      <c r="C20" s="192" t="s">
        <v>325</v>
      </c>
      <c r="D20" s="193"/>
      <c r="E20" s="194"/>
      <c r="F20" s="11"/>
      <c r="G20" s="11"/>
      <c r="H20" s="17">
        <f>SUM(H5:H19)</f>
        <v>17</v>
      </c>
      <c r="I20" s="17">
        <f t="shared" ref="I20:K20" si="15">SUM(I5:I19)</f>
        <v>280</v>
      </c>
      <c r="J20" s="17">
        <f t="shared" si="15"/>
        <v>240</v>
      </c>
      <c r="K20" s="16">
        <f t="shared" si="15"/>
        <v>40</v>
      </c>
      <c r="L20" s="26" t="str">
        <f>IFERROR(IF(VLOOKUP(U20,课程清单!A:Q,16,0)=$L$4,VLOOKUP(U20,课程清单!A:Q,17,0),""),"")</f>
        <v/>
      </c>
      <c r="M20" s="11" t="str">
        <f>IFERROR(IF(VLOOKUP(U20,课程清单!A:Q,16,0)=$M$4,VLOOKUP(U20,课程清单!A:Q,17,0),""),"")</f>
        <v/>
      </c>
      <c r="N20" s="11" t="str">
        <f>IFERROR(IF(VLOOKUP(U20,课程清单!A:Q,16,0)=$N$4,VLOOKUP(U20,课程清单!A:Q,17,0),""),"")</f>
        <v/>
      </c>
      <c r="O20" s="11" t="str">
        <f>IFERROR(IF(VLOOKUP(U20,课程清单!A:Q,16,0)=$O$4,VLOOKUP(U20,课程清单!A:Q,17,0),""),"")</f>
        <v/>
      </c>
      <c r="P20" s="11" t="str">
        <f>IFERROR(IF(VLOOKUP(U20,课程清单!A:Q,16,0)=$P$4,VLOOKUP(U20,课程清单!A:Q,17,0),""),"")</f>
        <v/>
      </c>
      <c r="Q20" s="11" t="str">
        <f>IFERROR(IF(VLOOKUP(U20,课程清单!A:Q,16,0)=$Q$4,VLOOKUP(U20,课程清单!A:Q,17,0),""),"")</f>
        <v/>
      </c>
      <c r="R20" s="11" t="str">
        <f>IFERROR(IF(VLOOKUP(U20,课程清单!A:Q,16,0)=$R$4,VLOOKUP(U20,课程清单!A:Q,17,0),""),"")</f>
        <v/>
      </c>
      <c r="S20" s="11" t="str">
        <f>IFERROR(IF(VLOOKUP(U20,课程清单!A:Q,16,0)=$S$4,VLOOKUP(U20,课程清单!A:Q,17,0),""),"")</f>
        <v/>
      </c>
      <c r="Y20" s="109"/>
      <c r="Z20" s="109"/>
      <c r="AA20" s="109"/>
      <c r="AB20" s="109"/>
    </row>
    <row r="21" spans="1:28" ht="25" customHeight="1" x14ac:dyDescent="0.3">
      <c r="A21" s="169"/>
      <c r="B21" s="168" t="s">
        <v>49</v>
      </c>
      <c r="C21" s="11">
        <v>16</v>
      </c>
      <c r="D21" s="12" t="str">
        <f>IFERROR(IF(VLOOKUP(U21,课程清单!A:Q,7,0)="","",VLOOKUP(U21,课程清单!A:Q,7,0)),"")</f>
        <v>063001A1</v>
      </c>
      <c r="E21" s="13" t="str">
        <f>IFERROR(VLOOKUP(U21,课程清单!A:Q,8,0)&amp;IF(VLOOKUP(U21,课程清单!A:Q,9,0)="","",CHAR(10)&amp;VLOOKUP(U21,课程清单!A:Q,9,0)),"")</f>
        <v>大学英语（1）
College English(I)</v>
      </c>
      <c r="F21" s="11" t="str">
        <f>IFERROR(IF(VLOOKUP(U21,课程清单!A:Q,10,0)="","",VLOOKUP(U21,课程清单!A:Q,10,0)),"")</f>
        <v>必修</v>
      </c>
      <c r="G21" s="11" t="str">
        <f>IFERROR(IF(VLOOKUP(U21,课程清单!A:Q,11,0)="","",VLOOKUP(U21,课程清单!A:Q,11,0)),"")</f>
        <v/>
      </c>
      <c r="H21" s="14">
        <f>IFERROR(IF(VLOOKUP(U21,课程清单!A:Q,12,0)="","",VLOOKUP(U21,课程清单!A:Q,12,0)),"")</f>
        <v>2</v>
      </c>
      <c r="I21" s="14">
        <f>IFERROR(IF(VLOOKUP(U21,课程清单!A:Q,13,0)="",0,VLOOKUP(U21,课程清单!A:Q,13,0)),"")</f>
        <v>32</v>
      </c>
      <c r="J21" s="14">
        <f>IFERROR(IF(VLOOKUP(U21,课程清单!A:Q,14,0)="",0,VLOOKUP(U21,课程清单!A:Q,14,0)),"")</f>
        <v>32</v>
      </c>
      <c r="K21" s="25">
        <f>IFERROR(IF(VLOOKUP(U21,课程清单!A:Q,15,0)="",0,VLOOKUP(U21,课程清单!A:Q,15,0)),"")</f>
        <v>0</v>
      </c>
      <c r="L21" s="26">
        <f>IFERROR(IF(VLOOKUP(U21,课程清单!A:Q,16,0)=$L$4,VLOOKUP(U21,课程清单!A:Q,17,0),""),"")</f>
        <v>2</v>
      </c>
      <c r="M21" s="11" t="str">
        <f>IFERROR(IF(VLOOKUP(U21,课程清单!A:Q,16,0)=$M$4,VLOOKUP(U21,课程清单!A:Q,17,0),""),"")</f>
        <v/>
      </c>
      <c r="N21" s="11" t="str">
        <f>IFERROR(IF(VLOOKUP(U21,课程清单!A:Q,16,0)=$N$4,VLOOKUP(U21,课程清单!A:Q,17,0),""),"")</f>
        <v/>
      </c>
      <c r="O21" s="11" t="str">
        <f>IFERROR(IF(VLOOKUP(U21,课程清单!A:Q,16,0)=$O$4,VLOOKUP(U21,课程清单!A:Q,17,0),""),"")</f>
        <v/>
      </c>
      <c r="P21" s="11" t="str">
        <f>IFERROR(IF(VLOOKUP(U21,课程清单!A:Q,16,0)=$P$4,VLOOKUP(U21,课程清单!A:Q,17,0),""),"")</f>
        <v/>
      </c>
      <c r="Q21" s="11" t="str">
        <f>IFERROR(IF(VLOOKUP(U21,课程清单!A:Q,16,0)=$Q$4,VLOOKUP(U21,课程清单!A:Q,17,0),""),"")</f>
        <v/>
      </c>
      <c r="R21" s="11" t="str">
        <f>IFERROR(IF(VLOOKUP(U21,课程清单!A:Q,16,0)=$R$4,VLOOKUP(U21,课程清单!A:Q,17,0),""),"")</f>
        <v/>
      </c>
      <c r="S21" s="11" t="str">
        <f>IFERROR(IF(VLOOKUP(U21,课程清单!A:Q,16,0)=$S$4,VLOOKUP(U21,课程清单!A:Q,17,0),""),"")</f>
        <v/>
      </c>
      <c r="T21" s="7">
        <v>1</v>
      </c>
      <c r="U21" s="2" t="str">
        <f>"通识教育课程平台_外语类_"&amp;T21</f>
        <v>通识教育课程平台_外语类_1</v>
      </c>
      <c r="V21" s="7">
        <f t="shared" si="6"/>
        <v>16</v>
      </c>
      <c r="W21" s="7">
        <f t="shared" ref="W21:W37" si="16">IF(_xlfn.IFNA(MATCH("+*",L21:S21,0),-1)=-1,H21*IF(J21="",0,J21)/I21,0)</f>
        <v>2</v>
      </c>
      <c r="X21" s="7">
        <f t="shared" ref="X21:X37" si="17">IF(_xlfn.IFNA(MATCH("+*",L21:S21,0),-1)=-1,J21,0)</f>
        <v>32</v>
      </c>
      <c r="Y21" s="109">
        <f t="shared" ref="Y21:Y37" si="18">IF(_xlfn.IFNA(MATCH("+*",L21:S21,0),-1)=-1,H21*IF(K21="",0,K21)/I21,0)</f>
        <v>0</v>
      </c>
      <c r="Z21" s="109">
        <f t="shared" ref="Z21:Z37" si="19">IF(_xlfn.IFNA(MATCH("+*",L21:S21,0),-1)=-1,IF(K21="",0,K21),0)</f>
        <v>0</v>
      </c>
      <c r="AA21" s="109">
        <f t="shared" ref="AA21:AA34" si="20">IF(_xlfn.IFNA(MATCH("+*",L21:S21,0),-1)&lt;&gt;-1,H21,0)</f>
        <v>0</v>
      </c>
      <c r="AB21" s="109">
        <f t="shared" ref="AB21:AB34" si="21">IF(AA21=0,0,K21)</f>
        <v>0</v>
      </c>
    </row>
    <row r="22" spans="1:28" ht="25" customHeight="1" x14ac:dyDescent="0.3">
      <c r="A22" s="169"/>
      <c r="B22" s="169"/>
      <c r="C22" s="11">
        <v>17</v>
      </c>
      <c r="D22" s="12" t="str">
        <f>IFERROR(IF(VLOOKUP(U22,课程清单!A:Q,7,0)="","",VLOOKUP(U22,课程清单!A:Q,7,0)),"")</f>
        <v>063002Q1</v>
      </c>
      <c r="E22" s="13" t="str">
        <f>IFERROR(VLOOKUP(U22,课程清单!A:Q,8,0)&amp;IF(VLOOKUP(U22,课程清单!A:Q,9,0)="","",CHAR(10)&amp;VLOOKUP(U22,课程清单!A:Q,9,0)),"")</f>
        <v>大学英语听说（1）
College English Listening and Speaking(I)</v>
      </c>
      <c r="F22" s="11" t="str">
        <f>IFERROR(IF(VLOOKUP(U22,课程清单!A:Q,10,0)="","",VLOOKUP(U22,课程清单!A:Q,10,0)),"")</f>
        <v>必修</v>
      </c>
      <c r="G22" s="11" t="str">
        <f>IFERROR(IF(VLOOKUP(U22,课程清单!A:Q,11,0)="","",VLOOKUP(U22,课程清单!A:Q,11,0)),"")</f>
        <v/>
      </c>
      <c r="H22" s="14">
        <f>IFERROR(IF(VLOOKUP(U22,课程清单!A:Q,12,0)="","",VLOOKUP(U22,课程清单!A:Q,12,0)),"")</f>
        <v>2</v>
      </c>
      <c r="I22" s="14">
        <f>IFERROR(IF(VLOOKUP(U22,课程清单!A:Q,13,0)="",0,VLOOKUP(U22,课程清单!A:Q,13,0)),"")</f>
        <v>32</v>
      </c>
      <c r="J22" s="14">
        <f>IFERROR(IF(VLOOKUP(U22,课程清单!A:Q,14,0)="",0,VLOOKUP(U22,课程清单!A:Q,14,0)),"")</f>
        <v>32</v>
      </c>
      <c r="K22" s="25">
        <f>IFERROR(IF(VLOOKUP(U22,课程清单!A:Q,15,0)="",0,VLOOKUP(U22,课程清单!A:Q,15,0)),"")</f>
        <v>0</v>
      </c>
      <c r="L22" s="26">
        <f>IFERROR(IF(VLOOKUP(U22,课程清单!A:Q,16,0)=$L$4,VLOOKUP(U22,课程清单!A:Q,17,0),""),"")</f>
        <v>2</v>
      </c>
      <c r="M22" s="11" t="str">
        <f>IFERROR(IF(VLOOKUP(U22,课程清单!A:Q,16,0)=$M$4,VLOOKUP(U22,课程清单!A:Q,17,0),""),"")</f>
        <v/>
      </c>
      <c r="N22" s="11" t="str">
        <f>IFERROR(IF(VLOOKUP(U22,课程清单!A:Q,16,0)=$N$4,VLOOKUP(U22,课程清单!A:Q,17,0),""),"")</f>
        <v/>
      </c>
      <c r="O22" s="11" t="str">
        <f>IFERROR(IF(VLOOKUP(U22,课程清单!A:Q,16,0)=$O$4,VLOOKUP(U22,课程清单!A:Q,17,0),""),"")</f>
        <v/>
      </c>
      <c r="P22" s="11" t="str">
        <f>IFERROR(IF(VLOOKUP(U22,课程清单!A:Q,16,0)=$P$4,VLOOKUP(U22,课程清单!A:Q,17,0),""),"")</f>
        <v/>
      </c>
      <c r="Q22" s="11" t="str">
        <f>IFERROR(IF(VLOOKUP(U22,课程清单!A:Q,16,0)=$Q$4,VLOOKUP(U22,课程清单!A:Q,17,0),""),"")</f>
        <v/>
      </c>
      <c r="R22" s="11" t="str">
        <f>IFERROR(IF(VLOOKUP(U22,课程清单!A:Q,16,0)=$R$4,VLOOKUP(U22,课程清单!A:Q,17,0),""),"")</f>
        <v/>
      </c>
      <c r="S22" s="11" t="str">
        <f>IFERROR(IF(VLOOKUP(U22,课程清单!A:Q,16,0)=$S$4,VLOOKUP(U22,课程清单!A:Q,17,0),""),"")</f>
        <v/>
      </c>
      <c r="T22" s="7">
        <v>2</v>
      </c>
      <c r="U22" s="2" t="str">
        <f t="shared" ref="U22:U25" si="22">"通识教育课程平台_外语类_"&amp;T22</f>
        <v>通识教育课程平台_外语类_2</v>
      </c>
      <c r="V22" s="7">
        <f t="shared" si="6"/>
        <v>17</v>
      </c>
      <c r="W22" s="7">
        <f t="shared" si="16"/>
        <v>2</v>
      </c>
      <c r="X22" s="7">
        <f t="shared" si="17"/>
        <v>32</v>
      </c>
      <c r="Y22" s="109">
        <f t="shared" si="18"/>
        <v>0</v>
      </c>
      <c r="Z22" s="109">
        <f t="shared" si="19"/>
        <v>0</v>
      </c>
      <c r="AA22" s="109">
        <f t="shared" si="20"/>
        <v>0</v>
      </c>
      <c r="AB22" s="109">
        <f t="shared" si="21"/>
        <v>0</v>
      </c>
    </row>
    <row r="23" spans="1:28" ht="25" customHeight="1" x14ac:dyDescent="0.3">
      <c r="A23" s="169"/>
      <c r="B23" s="169"/>
      <c r="C23" s="11">
        <v>18</v>
      </c>
      <c r="D23" s="12" t="str">
        <f>IFERROR(IF(VLOOKUP(U23,课程清单!A:Q,7,0)="","",VLOOKUP(U23,课程清单!A:Q,7,0)),"")</f>
        <v>063001A2</v>
      </c>
      <c r="E23" s="13" t="str">
        <f>IFERROR(VLOOKUP(U23,课程清单!A:Q,8,0)&amp;IF(VLOOKUP(U23,课程清单!A:Q,9,0)="","",CHAR(10)&amp;VLOOKUP(U23,课程清单!A:Q,9,0)),"")</f>
        <v>大学英语（2）
College English(Ⅱ)</v>
      </c>
      <c r="F23" s="11" t="str">
        <f>IFERROR(IF(VLOOKUP(U23,课程清单!A:Q,10,0)="","",VLOOKUP(U23,课程清单!A:Q,10,0)),"")</f>
        <v>必修</v>
      </c>
      <c r="G23" s="11" t="str">
        <f>IFERROR(IF(VLOOKUP(U23,课程清单!A:Q,11,0)="","",VLOOKUP(U23,课程清单!A:Q,11,0)),"")</f>
        <v/>
      </c>
      <c r="H23" s="14">
        <f>IFERROR(IF(VLOOKUP(U23,课程清单!A:Q,12,0)="","",VLOOKUP(U23,课程清单!A:Q,12,0)),"")</f>
        <v>2</v>
      </c>
      <c r="I23" s="14">
        <f>IFERROR(IF(VLOOKUP(U23,课程清单!A:Q,13,0)="",0,VLOOKUP(U23,课程清单!A:Q,13,0)),"")</f>
        <v>32</v>
      </c>
      <c r="J23" s="14">
        <f>IFERROR(IF(VLOOKUP(U23,课程清单!A:Q,14,0)="",0,VLOOKUP(U23,课程清单!A:Q,14,0)),"")</f>
        <v>32</v>
      </c>
      <c r="K23" s="25">
        <f>IFERROR(IF(VLOOKUP(U23,课程清单!A:Q,15,0)="",0,VLOOKUP(U23,课程清单!A:Q,15,0)),"")</f>
        <v>0</v>
      </c>
      <c r="L23" s="26" t="str">
        <f>IFERROR(IF(VLOOKUP(U23,课程清单!A:Q,16,0)=$L$4,VLOOKUP(U23,课程清单!A:Q,17,0),""),"")</f>
        <v/>
      </c>
      <c r="M23" s="11">
        <f>IFERROR(IF(VLOOKUP(U23,课程清单!A:Q,16,0)=$M$4,VLOOKUP(U23,课程清单!A:Q,17,0),""),"")</f>
        <v>2</v>
      </c>
      <c r="N23" s="11" t="str">
        <f>IFERROR(IF(VLOOKUP(U23,课程清单!A:Q,16,0)=$N$4,VLOOKUP(U23,课程清单!A:Q,17,0),""),"")</f>
        <v/>
      </c>
      <c r="O23" s="11" t="str">
        <f>IFERROR(IF(VLOOKUP(U23,课程清单!A:Q,16,0)=$O$4,VLOOKUP(U23,课程清单!A:Q,17,0),""),"")</f>
        <v/>
      </c>
      <c r="P23" s="11" t="str">
        <f>IFERROR(IF(VLOOKUP(U23,课程清单!A:Q,16,0)=$P$4,VLOOKUP(U23,课程清单!A:Q,17,0),""),"")</f>
        <v/>
      </c>
      <c r="Q23" s="11" t="str">
        <f>IFERROR(IF(VLOOKUP(U23,课程清单!A:Q,16,0)=$Q$4,VLOOKUP(U23,课程清单!A:Q,17,0),""),"")</f>
        <v/>
      </c>
      <c r="R23" s="11" t="str">
        <f>IFERROR(IF(VLOOKUP(U23,课程清单!A:Q,16,0)=$R$4,VLOOKUP(U23,课程清单!A:Q,17,0),""),"")</f>
        <v/>
      </c>
      <c r="S23" s="11" t="str">
        <f>IFERROR(IF(VLOOKUP(U23,课程清单!A:Q,16,0)=$S$4,VLOOKUP(U23,课程清单!A:Q,17,0),""),"")</f>
        <v/>
      </c>
      <c r="T23" s="7">
        <v>3</v>
      </c>
      <c r="U23" s="2" t="str">
        <f t="shared" si="22"/>
        <v>通识教育课程平台_外语类_3</v>
      </c>
      <c r="V23" s="7">
        <f t="shared" si="6"/>
        <v>18</v>
      </c>
      <c r="W23" s="7">
        <f t="shared" si="16"/>
        <v>2</v>
      </c>
      <c r="X23" s="7">
        <f t="shared" si="17"/>
        <v>32</v>
      </c>
      <c r="Y23" s="109">
        <f t="shared" si="18"/>
        <v>0</v>
      </c>
      <c r="Z23" s="109">
        <f t="shared" si="19"/>
        <v>0</v>
      </c>
      <c r="AA23" s="109">
        <f t="shared" si="20"/>
        <v>0</v>
      </c>
      <c r="AB23" s="109">
        <f t="shared" si="21"/>
        <v>0</v>
      </c>
    </row>
    <row r="24" spans="1:28" ht="25" customHeight="1" x14ac:dyDescent="0.3">
      <c r="A24" s="169"/>
      <c r="B24" s="169"/>
      <c r="C24" s="11">
        <v>19</v>
      </c>
      <c r="D24" s="12" t="str">
        <f>IFERROR(IF(VLOOKUP(U24,课程清单!A:Q,7,0)="","",VLOOKUP(U24,课程清单!A:Q,7,0)),"")</f>
        <v>063002Q2</v>
      </c>
      <c r="E24" s="13" t="str">
        <f>IFERROR(VLOOKUP(U24,课程清单!A:Q,8,0)&amp;IF(VLOOKUP(U24,课程清单!A:Q,9,0)="","",CHAR(10)&amp;VLOOKUP(U24,课程清单!A:Q,9,0)),"")</f>
        <v>大学英语听说（2）
College English Listening and Speaking(Ⅱ)</v>
      </c>
      <c r="F24" s="11" t="str">
        <f>IFERROR(IF(VLOOKUP(U24,课程清单!A:Q,10,0)="","",VLOOKUP(U24,课程清单!A:Q,10,0)),"")</f>
        <v>必修</v>
      </c>
      <c r="G24" s="11" t="str">
        <f>IFERROR(IF(VLOOKUP(U24,课程清单!A:Q,11,0)="","",VLOOKUP(U24,课程清单!A:Q,11,0)),"")</f>
        <v/>
      </c>
      <c r="H24" s="14">
        <f>IFERROR(IF(VLOOKUP(U24,课程清单!A:Q,12,0)="","",VLOOKUP(U24,课程清单!A:Q,12,0)),"")</f>
        <v>2</v>
      </c>
      <c r="I24" s="14">
        <f>IFERROR(IF(VLOOKUP(U24,课程清单!A:Q,13,0)="",0,VLOOKUP(U24,课程清单!A:Q,13,0)),"")</f>
        <v>32</v>
      </c>
      <c r="J24" s="14">
        <f>IFERROR(IF(VLOOKUP(U24,课程清单!A:Q,14,0)="",0,VLOOKUP(U24,课程清单!A:Q,14,0)),"")</f>
        <v>32</v>
      </c>
      <c r="K24" s="25">
        <f>IFERROR(IF(VLOOKUP(U24,课程清单!A:Q,15,0)="",0,VLOOKUP(U24,课程清单!A:Q,15,0)),"")</f>
        <v>0</v>
      </c>
      <c r="L24" s="26" t="str">
        <f>IFERROR(IF(VLOOKUP(U24,课程清单!A:Q,16,0)=$L$4,VLOOKUP(U24,课程清单!A:Q,17,0),""),"")</f>
        <v/>
      </c>
      <c r="M24" s="11">
        <f>IFERROR(IF(VLOOKUP(U24,课程清单!A:Q,16,0)=$M$4,VLOOKUP(U24,课程清单!A:Q,17,0),""),"")</f>
        <v>2</v>
      </c>
      <c r="N24" s="11" t="str">
        <f>IFERROR(IF(VLOOKUP(U24,课程清单!A:Q,16,0)=$N$4,VLOOKUP(U24,课程清单!A:Q,17,0),""),"")</f>
        <v/>
      </c>
      <c r="O24" s="11" t="str">
        <f>IFERROR(IF(VLOOKUP(U24,课程清单!A:Q,16,0)=$O$4,VLOOKUP(U24,课程清单!A:Q,17,0),""),"")</f>
        <v/>
      </c>
      <c r="P24" s="11" t="str">
        <f>IFERROR(IF(VLOOKUP(U24,课程清单!A:Q,16,0)=$P$4,VLOOKUP(U24,课程清单!A:Q,17,0),""),"")</f>
        <v/>
      </c>
      <c r="Q24" s="11" t="str">
        <f>IFERROR(IF(VLOOKUP(U24,课程清单!A:Q,16,0)=$Q$4,VLOOKUP(U24,课程清单!A:Q,17,0),""),"")</f>
        <v/>
      </c>
      <c r="R24" s="11" t="str">
        <f>IFERROR(IF(VLOOKUP(U24,课程清单!A:Q,16,0)=$R$4,VLOOKUP(U24,课程清单!A:Q,17,0),""),"")</f>
        <v/>
      </c>
      <c r="S24" s="11" t="str">
        <f>IFERROR(IF(VLOOKUP(U24,课程清单!A:Q,16,0)=$S$4,VLOOKUP(U24,课程清单!A:Q,17,0),""),"")</f>
        <v/>
      </c>
      <c r="T24" s="7">
        <v>4</v>
      </c>
      <c r="U24" s="2" t="str">
        <f t="shared" si="22"/>
        <v>通识教育课程平台_外语类_4</v>
      </c>
      <c r="V24" s="7">
        <f t="shared" si="6"/>
        <v>19</v>
      </c>
      <c r="W24" s="7">
        <f t="shared" si="16"/>
        <v>2</v>
      </c>
      <c r="X24" s="7">
        <f t="shared" si="17"/>
        <v>32</v>
      </c>
      <c r="Y24" s="109">
        <f t="shared" si="18"/>
        <v>0</v>
      </c>
      <c r="Z24" s="109">
        <f t="shared" si="19"/>
        <v>0</v>
      </c>
      <c r="AA24" s="109">
        <f t="shared" si="20"/>
        <v>0</v>
      </c>
      <c r="AB24" s="109">
        <f t="shared" si="21"/>
        <v>0</v>
      </c>
    </row>
    <row r="25" spans="1:28" ht="25" customHeight="1" x14ac:dyDescent="0.3">
      <c r="A25" s="169"/>
      <c r="B25" s="169"/>
      <c r="C25" s="11">
        <v>20</v>
      </c>
      <c r="D25" s="12" t="str">
        <f>IFERROR(IF(VLOOKUP(U25,课程清单!A:Q,7,0)="","",VLOOKUP(U25,课程清单!A:Q,7,0)),"")</f>
        <v>见大学英语限选课程一览表</v>
      </c>
      <c r="E25" s="13" t="str">
        <f>IFERROR(VLOOKUP(U25,课程清单!A:Q,8,0)&amp;IF(VLOOKUP(U25,课程清单!A:Q,9,0)="","",CHAR(10)&amp;VLOOKUP(U25,课程清单!A:Q,9,0)),"")</f>
        <v>大学英语限选课程
Distributional ELectives of Colloge English</v>
      </c>
      <c r="F25" s="11" t="str">
        <f>IFERROR(IF(VLOOKUP(U25,课程清单!A:Q,10,0)="","",VLOOKUP(U25,课程清单!A:Q,10,0)),"")</f>
        <v>限选</v>
      </c>
      <c r="G25" s="11" t="str">
        <f>IFERROR(IF(VLOOKUP(U25,课程清单!A:Q,11,0)="","",VLOOKUP(U25,课程清单!A:Q,11,0)),"")</f>
        <v/>
      </c>
      <c r="H25" s="14">
        <f>IFERROR(IF(VLOOKUP(U25,课程清单!A:Q,12,0)="","",VLOOKUP(U25,课程清单!A:Q,12,0)),"")</f>
        <v>2</v>
      </c>
      <c r="I25" s="14">
        <f>IFERROR(IF(VLOOKUP(U25,课程清单!A:Q,13,0)="",0,VLOOKUP(U25,课程清单!A:Q,13,0)),"")</f>
        <v>32</v>
      </c>
      <c r="J25" s="14">
        <f>IFERROR(IF(VLOOKUP(U25,课程清单!A:Q,14,0)="",0,VLOOKUP(U25,课程清单!A:Q,14,0)),"")</f>
        <v>32</v>
      </c>
      <c r="K25" s="25">
        <f>IFERROR(IF(VLOOKUP(U25,课程清单!A:Q,15,0)="",0,VLOOKUP(U25,课程清单!A:Q,15,0)),"")</f>
        <v>0</v>
      </c>
      <c r="L25" s="26" t="str">
        <f>IFERROR(IF(VLOOKUP(U25,课程清单!A:Q,16,0)=$L$4,VLOOKUP(U25,课程清单!A:Q,17,0),""),"")</f>
        <v/>
      </c>
      <c r="M25" s="11" t="str">
        <f>IFERROR(IF(VLOOKUP(U25,课程清单!A:Q,16,0)=$M$4,VLOOKUP(U25,课程清单!A:Q,17,0),""),"")</f>
        <v/>
      </c>
      <c r="N25" s="11" t="str">
        <f>IFERROR(IF(VLOOKUP(U25,课程清单!A:Q,16,0)=$N$4,VLOOKUP(U25,课程清单!A:Q,17,0),""),"")</f>
        <v/>
      </c>
      <c r="O25" s="11" t="str">
        <f>IFERROR(IF(VLOOKUP(U25,课程清单!A:Q,16,0)=$O$4,VLOOKUP(U25,课程清单!A:Q,17,0),""),"")</f>
        <v/>
      </c>
      <c r="P25" s="11" t="str">
        <f>IFERROR(IF(VLOOKUP(U25,课程清单!A:Q,16,0)=$P$4,VLOOKUP(U25,课程清单!A:Q,17,0),""),"")</f>
        <v/>
      </c>
      <c r="Q25" s="11" t="str">
        <f>IFERROR(IF(VLOOKUP(U25,课程清单!A:Q,16,0)=$Q$4,VLOOKUP(U25,课程清单!A:Q,17,0),""),"")</f>
        <v/>
      </c>
      <c r="R25" s="11" t="str">
        <f>IFERROR(IF(VLOOKUP(U25,课程清单!A:Q,16,0)=$R$4,VLOOKUP(U25,课程清单!A:Q,17,0),""),"")</f>
        <v/>
      </c>
      <c r="S25" s="11" t="str">
        <f>IFERROR(IF(VLOOKUP(U25,课程清单!A:Q,16,0)=$S$4,VLOOKUP(U25,课程清单!A:Q,17,0),""),"")</f>
        <v/>
      </c>
      <c r="T25" s="7">
        <v>5</v>
      </c>
      <c r="U25" s="2" t="str">
        <f t="shared" si="22"/>
        <v>通识教育课程平台_外语类_5</v>
      </c>
      <c r="V25" s="7">
        <f t="shared" si="6"/>
        <v>20</v>
      </c>
      <c r="W25" s="7">
        <f t="shared" si="16"/>
        <v>2</v>
      </c>
      <c r="X25" s="7">
        <f t="shared" si="17"/>
        <v>32</v>
      </c>
      <c r="Y25" s="109">
        <f t="shared" si="18"/>
        <v>0</v>
      </c>
      <c r="Z25" s="109">
        <f t="shared" si="19"/>
        <v>0</v>
      </c>
      <c r="AA25" s="109">
        <f t="shared" si="20"/>
        <v>0</v>
      </c>
      <c r="AB25" s="109">
        <f t="shared" si="21"/>
        <v>0</v>
      </c>
    </row>
    <row r="26" spans="1:28" ht="25" customHeight="1" x14ac:dyDescent="0.3">
      <c r="A26" s="169"/>
      <c r="B26" s="170"/>
      <c r="C26" s="192" t="s">
        <v>326</v>
      </c>
      <c r="D26" s="193"/>
      <c r="E26" s="194"/>
      <c r="F26" s="11"/>
      <c r="G26" s="11"/>
      <c r="H26" s="17">
        <f>SUM(H21:H25)</f>
        <v>10</v>
      </c>
      <c r="I26" s="17">
        <f t="shared" ref="I26:K26" si="23">SUM(I21:I25)</f>
        <v>160</v>
      </c>
      <c r="J26" s="17">
        <f t="shared" si="23"/>
        <v>160</v>
      </c>
      <c r="K26" s="16">
        <f t="shared" si="23"/>
        <v>0</v>
      </c>
      <c r="L26" s="26" t="str">
        <f>IFERROR(IF(VLOOKUP(U26,课程清单!A:Q,16,0)=$L$4,VLOOKUP(U26,课程清单!A:Q,17,0),""),"")</f>
        <v/>
      </c>
      <c r="M26" s="11" t="str">
        <f>IFERROR(IF(VLOOKUP(U26,课程清单!A:Q,16,0)=$M$4,VLOOKUP(U26,课程清单!A:Q,17,0),""),"")</f>
        <v/>
      </c>
      <c r="N26" s="11" t="str">
        <f>IFERROR(IF(VLOOKUP(U26,课程清单!A:Q,16,0)=$N$4,VLOOKUP(U26,课程清单!A:Q,17,0),""),"")</f>
        <v/>
      </c>
      <c r="O26" s="11" t="str">
        <f>IFERROR(IF(VLOOKUP(U26,课程清单!A:Q,16,0)=$O$4,VLOOKUP(U26,课程清单!A:Q,17,0),""),"")</f>
        <v/>
      </c>
      <c r="P26" s="11" t="str">
        <f>IFERROR(IF(VLOOKUP(U26,课程清单!A:Q,16,0)=$P$4,VLOOKUP(U26,课程清单!A:Q,17,0),""),"")</f>
        <v/>
      </c>
      <c r="Q26" s="11" t="str">
        <f>IFERROR(IF(VLOOKUP(U26,课程清单!A:Q,16,0)=$Q$4,VLOOKUP(U26,课程清单!A:Q,17,0),""),"")</f>
        <v/>
      </c>
      <c r="R26" s="11" t="str">
        <f>IFERROR(IF(VLOOKUP(U26,课程清单!A:Q,16,0)=$R$4,VLOOKUP(U26,课程清单!A:Q,17,0),""),"")</f>
        <v/>
      </c>
      <c r="S26" s="11" t="str">
        <f>IFERROR(IF(VLOOKUP(U26,课程清单!A:Q,16,0)=$S$4,VLOOKUP(U26,课程清单!A:Q,17,0),""),"")</f>
        <v/>
      </c>
      <c r="Y26" s="109"/>
      <c r="Z26" s="109"/>
      <c r="AA26" s="109"/>
      <c r="AB26" s="109"/>
    </row>
    <row r="27" spans="1:28" ht="25" customHeight="1" x14ac:dyDescent="0.3">
      <c r="A27" s="169"/>
      <c r="B27" s="181" t="s">
        <v>52</v>
      </c>
      <c r="C27" s="11">
        <v>21</v>
      </c>
      <c r="D27" s="196" t="s">
        <v>327</v>
      </c>
      <c r="E27" s="13" t="str">
        <f>IFERROR(VLOOKUP(U27,课程清单!A:Q,8,0)&amp;IF(VLOOKUP(U27,课程清单!A:Q,9,0)="","",CHAR(10)&amp;VLOOKUP(U27,课程清单!A:Q,9,0)),"")</f>
        <v>体育（1）
Physical Education(I)</v>
      </c>
      <c r="F27" s="11" t="str">
        <f>IFERROR(IF(VLOOKUP(U27,课程清单!A:Q,10,0)="","",VLOOKUP(U27,课程清单!A:Q,10,0)),"")</f>
        <v>必修</v>
      </c>
      <c r="G27" s="11" t="str">
        <f>IFERROR(IF(VLOOKUP(U27,课程清单!A:Q,11,0)="","",VLOOKUP(U27,课程清单!A:Q,11,0)),"")</f>
        <v/>
      </c>
      <c r="H27" s="14">
        <f>IFERROR(IF(VLOOKUP(U27,课程清单!A:Q,12,0)="","",VLOOKUP(U27,课程清单!A:Q,12,0)),"")</f>
        <v>1</v>
      </c>
      <c r="I27" s="14">
        <f>IFERROR(IF(VLOOKUP(U27,课程清单!A:Q,13,0)="",0,VLOOKUP(U27,课程清单!A:Q,13,0)),"")</f>
        <v>32</v>
      </c>
      <c r="J27" s="14">
        <f>IFERROR(IF(VLOOKUP(U27,课程清单!A:Q,14,0)="",0,VLOOKUP(U27,课程清单!A:Q,14,0)),"")</f>
        <v>32</v>
      </c>
      <c r="K27" s="25">
        <f>IFERROR(IF(VLOOKUP(U27,课程清单!A:Q,15,0)="",0,VLOOKUP(U27,课程清单!A:Q,15,0)),"")</f>
        <v>0</v>
      </c>
      <c r="L27" s="26">
        <f>IFERROR(IF(VLOOKUP(U27,课程清单!A:Q,16,0)=$L$4,VLOOKUP(U27,课程清单!A:Q,17,0),""),"")</f>
        <v>2</v>
      </c>
      <c r="M27" s="11" t="str">
        <f>IFERROR(IF(VLOOKUP(U27,课程清单!A:Q,16,0)=$M$4,VLOOKUP(U27,课程清单!A:Q,17,0),""),"")</f>
        <v/>
      </c>
      <c r="N27" s="11" t="str">
        <f>IFERROR(IF(VLOOKUP(U27,课程清单!A:Q,16,0)=$N$4,VLOOKUP(U27,课程清单!A:Q,17,0),""),"")</f>
        <v/>
      </c>
      <c r="O27" s="11" t="str">
        <f>IFERROR(IF(VLOOKUP(U27,课程清单!A:Q,16,0)=$O$4,VLOOKUP(U27,课程清单!A:Q,17,0),""),"")</f>
        <v/>
      </c>
      <c r="P27" s="11" t="str">
        <f>IFERROR(IF(VLOOKUP(U27,课程清单!A:Q,16,0)=$P$4,VLOOKUP(U27,课程清单!A:Q,17,0),""),"")</f>
        <v/>
      </c>
      <c r="Q27" s="11" t="str">
        <f>IFERROR(IF(VLOOKUP(U27,课程清单!A:Q,16,0)=$Q$4,VLOOKUP(U27,课程清单!A:Q,17,0),""),"")</f>
        <v/>
      </c>
      <c r="R27" s="11" t="str">
        <f>IFERROR(IF(VLOOKUP(U27,课程清单!A:Q,16,0)=$R$4,VLOOKUP(U27,课程清单!A:Q,17,0),""),"")</f>
        <v/>
      </c>
      <c r="S27" s="11" t="str">
        <f>IFERROR(IF(VLOOKUP(U27,课程清单!A:Q,16,0)=$S$4,VLOOKUP(U27,课程清单!A:Q,17,0),""),"")</f>
        <v/>
      </c>
      <c r="T27" s="7">
        <v>1</v>
      </c>
      <c r="U27" s="2" t="str">
        <f>"通识教育课程平台_军体类_"&amp;T27</f>
        <v>通识教育课程平台_军体类_1</v>
      </c>
      <c r="V27" s="7">
        <f t="shared" si="6"/>
        <v>21</v>
      </c>
      <c r="W27" s="7">
        <f t="shared" si="16"/>
        <v>1</v>
      </c>
      <c r="X27" s="7">
        <f t="shared" si="17"/>
        <v>32</v>
      </c>
      <c r="Y27" s="109">
        <f t="shared" si="18"/>
        <v>0</v>
      </c>
      <c r="Z27" s="109">
        <f t="shared" si="19"/>
        <v>0</v>
      </c>
      <c r="AA27" s="109">
        <f t="shared" si="20"/>
        <v>0</v>
      </c>
      <c r="AB27" s="109">
        <f t="shared" si="21"/>
        <v>0</v>
      </c>
    </row>
    <row r="28" spans="1:28" ht="25" customHeight="1" x14ac:dyDescent="0.3">
      <c r="A28" s="169"/>
      <c r="B28" s="181"/>
      <c r="C28" s="11">
        <v>22</v>
      </c>
      <c r="D28" s="197"/>
      <c r="E28" s="13" t="str">
        <f>IFERROR(VLOOKUP(U28,课程清单!A:Q,8,0)&amp;IF(VLOOKUP(U28,课程清单!A:Q,9,0)="","",CHAR(10)&amp;VLOOKUP(U28,课程清单!A:Q,9,0)),"")</f>
        <v>体育（2）
Physical Education(II)</v>
      </c>
      <c r="F28" s="11" t="str">
        <f>IFERROR(IF(VLOOKUP(U28,课程清单!A:Q,10,0)="","",VLOOKUP(U28,课程清单!A:Q,10,0)),"")</f>
        <v>必修</v>
      </c>
      <c r="G28" s="11" t="str">
        <f>IFERROR(IF(VLOOKUP(U28,课程清单!A:Q,11,0)="","",VLOOKUP(U28,课程清单!A:Q,11,0)),"")</f>
        <v/>
      </c>
      <c r="H28" s="14">
        <f>IFERROR(IF(VLOOKUP(U28,课程清单!A:Q,12,0)="","",VLOOKUP(U28,课程清单!A:Q,12,0)),"")</f>
        <v>1</v>
      </c>
      <c r="I28" s="14">
        <f>IFERROR(IF(VLOOKUP(U28,课程清单!A:Q,13,0)="",0,VLOOKUP(U28,课程清单!A:Q,13,0)),"")</f>
        <v>32</v>
      </c>
      <c r="J28" s="14">
        <f>IFERROR(IF(VLOOKUP(U28,课程清单!A:Q,14,0)="",0,VLOOKUP(U28,课程清单!A:Q,14,0)),"")</f>
        <v>32</v>
      </c>
      <c r="K28" s="25">
        <f>IFERROR(IF(VLOOKUP(U28,课程清单!A:Q,15,0)="",0,VLOOKUP(U28,课程清单!A:Q,15,0)),"")</f>
        <v>0</v>
      </c>
      <c r="L28" s="26" t="str">
        <f>IFERROR(IF(VLOOKUP(U28,课程清单!A:Q,16,0)=$L$4,VLOOKUP(U28,课程清单!A:Q,17,0),""),"")</f>
        <v/>
      </c>
      <c r="M28" s="11">
        <f>IFERROR(IF(VLOOKUP(U28,课程清单!A:Q,16,0)=$M$4,VLOOKUP(U28,课程清单!A:Q,17,0),""),"")</f>
        <v>2</v>
      </c>
      <c r="N28" s="11" t="str">
        <f>IFERROR(IF(VLOOKUP(U28,课程清单!A:Q,16,0)=$N$4,VLOOKUP(U28,课程清单!A:Q,17,0),""),"")</f>
        <v/>
      </c>
      <c r="O28" s="11" t="str">
        <f>IFERROR(IF(VLOOKUP(U28,课程清单!A:Q,16,0)=$O$4,VLOOKUP(U28,课程清单!A:Q,17,0),""),"")</f>
        <v/>
      </c>
      <c r="P28" s="11" t="str">
        <f>IFERROR(IF(VLOOKUP(U28,课程清单!A:Q,16,0)=$P$4,VLOOKUP(U28,课程清单!A:Q,17,0),""),"")</f>
        <v/>
      </c>
      <c r="Q28" s="11" t="str">
        <f>IFERROR(IF(VLOOKUP(U28,课程清单!A:Q,16,0)=$Q$4,VLOOKUP(U28,课程清单!A:Q,17,0),""),"")</f>
        <v/>
      </c>
      <c r="R28" s="11" t="str">
        <f>IFERROR(IF(VLOOKUP(U28,课程清单!A:Q,16,0)=$R$4,VLOOKUP(U28,课程清单!A:Q,17,0),""),"")</f>
        <v/>
      </c>
      <c r="S28" s="11" t="str">
        <f>IFERROR(IF(VLOOKUP(U28,课程清单!A:Q,16,0)=$S$4,VLOOKUP(U28,课程清单!A:Q,17,0),""),"")</f>
        <v/>
      </c>
      <c r="T28" s="7">
        <v>2</v>
      </c>
      <c r="U28" s="2" t="str">
        <f t="shared" ref="U28:U32" si="24">"通识教育课程平台_军体类_"&amp;T28</f>
        <v>通识教育课程平台_军体类_2</v>
      </c>
      <c r="V28" s="7">
        <f t="shared" si="6"/>
        <v>22</v>
      </c>
      <c r="W28" s="7">
        <f t="shared" si="16"/>
        <v>1</v>
      </c>
      <c r="X28" s="7">
        <f t="shared" si="17"/>
        <v>32</v>
      </c>
      <c r="Y28" s="109">
        <f t="shared" si="18"/>
        <v>0</v>
      </c>
      <c r="Z28" s="109">
        <f t="shared" si="19"/>
        <v>0</v>
      </c>
      <c r="AA28" s="109">
        <f t="shared" si="20"/>
        <v>0</v>
      </c>
      <c r="AB28" s="109">
        <f t="shared" si="21"/>
        <v>0</v>
      </c>
    </row>
    <row r="29" spans="1:28" ht="25" customHeight="1" x14ac:dyDescent="0.3">
      <c r="A29" s="169"/>
      <c r="B29" s="181"/>
      <c r="C29" s="11">
        <v>23</v>
      </c>
      <c r="D29" s="197"/>
      <c r="E29" s="13" t="str">
        <f>IFERROR(VLOOKUP(U29,课程清单!A:Q,8,0)&amp;IF(VLOOKUP(U29,课程清单!A:Q,9,0)="","",CHAR(10)&amp;VLOOKUP(U29,课程清单!A:Q,9,0)),"")</f>
        <v>体育（3）
Physical Education(III)</v>
      </c>
      <c r="F29" s="11" t="str">
        <f>IFERROR(IF(VLOOKUP(U29,课程清单!A:Q,10,0)="","",VLOOKUP(U29,课程清单!A:Q,10,0)),"")</f>
        <v>必修</v>
      </c>
      <c r="G29" s="11" t="str">
        <f>IFERROR(IF(VLOOKUP(U29,课程清单!A:Q,11,0)="","",VLOOKUP(U29,课程清单!A:Q,11,0)),"")</f>
        <v/>
      </c>
      <c r="H29" s="14">
        <f>IFERROR(IF(VLOOKUP(U29,课程清单!A:Q,12,0)="","",VLOOKUP(U29,课程清单!A:Q,12,0)),"")</f>
        <v>1</v>
      </c>
      <c r="I29" s="14">
        <f>IFERROR(IF(VLOOKUP(U29,课程清单!A:Q,13,0)="",0,VLOOKUP(U29,课程清单!A:Q,13,0)),"")</f>
        <v>32</v>
      </c>
      <c r="J29" s="14">
        <f>IFERROR(IF(VLOOKUP(U29,课程清单!A:Q,14,0)="",0,VLOOKUP(U29,课程清单!A:Q,14,0)),"")</f>
        <v>32</v>
      </c>
      <c r="K29" s="25">
        <f>IFERROR(IF(VLOOKUP(U29,课程清单!A:Q,15,0)="",0,VLOOKUP(U29,课程清单!A:Q,15,0)),"")</f>
        <v>0</v>
      </c>
      <c r="L29" s="26" t="str">
        <f>IFERROR(IF(VLOOKUP(U29,课程清单!A:Q,16,0)=$L$4,VLOOKUP(U29,课程清单!A:Q,17,0),""),"")</f>
        <v/>
      </c>
      <c r="M29" s="11" t="str">
        <f>IFERROR(IF(VLOOKUP(U29,课程清单!A:Q,16,0)=$M$4,VLOOKUP(U29,课程清单!A:Q,17,0),""),"")</f>
        <v/>
      </c>
      <c r="N29" s="11">
        <f>IFERROR(IF(VLOOKUP(U29,课程清单!A:Q,16,0)=$N$4,VLOOKUP(U29,课程清单!A:Q,17,0),""),"")</f>
        <v>2</v>
      </c>
      <c r="O29" s="11" t="str">
        <f>IFERROR(IF(VLOOKUP(U29,课程清单!A:Q,16,0)=$O$4,VLOOKUP(U29,课程清单!A:Q,17,0),""),"")</f>
        <v/>
      </c>
      <c r="P29" s="11" t="str">
        <f>IFERROR(IF(VLOOKUP(U29,课程清单!A:Q,16,0)=$P$4,VLOOKUP(U29,课程清单!A:Q,17,0),""),"")</f>
        <v/>
      </c>
      <c r="Q29" s="11" t="str">
        <f>IFERROR(IF(VLOOKUP(U29,课程清单!A:Q,16,0)=$Q$4,VLOOKUP(U29,课程清单!A:Q,17,0),""),"")</f>
        <v/>
      </c>
      <c r="R29" s="11" t="str">
        <f>IFERROR(IF(VLOOKUP(U29,课程清单!A:Q,16,0)=$R$4,VLOOKUP(U29,课程清单!A:Q,17,0),""),"")</f>
        <v/>
      </c>
      <c r="S29" s="11" t="str">
        <f>IFERROR(IF(VLOOKUP(U29,课程清单!A:Q,16,0)=$S$4,VLOOKUP(U29,课程清单!A:Q,17,0),""),"")</f>
        <v/>
      </c>
      <c r="T29" s="7">
        <v>3</v>
      </c>
      <c r="U29" s="2" t="str">
        <f t="shared" si="24"/>
        <v>通识教育课程平台_军体类_3</v>
      </c>
      <c r="V29" s="7">
        <f t="shared" si="6"/>
        <v>23</v>
      </c>
      <c r="W29" s="7">
        <f t="shared" si="16"/>
        <v>1</v>
      </c>
      <c r="X29" s="7">
        <f t="shared" si="17"/>
        <v>32</v>
      </c>
      <c r="Y29" s="109">
        <f t="shared" si="18"/>
        <v>0</v>
      </c>
      <c r="Z29" s="109">
        <f t="shared" si="19"/>
        <v>0</v>
      </c>
      <c r="AA29" s="109">
        <f t="shared" si="20"/>
        <v>0</v>
      </c>
      <c r="AB29" s="109">
        <f t="shared" si="21"/>
        <v>0</v>
      </c>
    </row>
    <row r="30" spans="1:28" ht="25" customHeight="1" x14ac:dyDescent="0.3">
      <c r="A30" s="169"/>
      <c r="B30" s="181"/>
      <c r="C30" s="11">
        <v>24</v>
      </c>
      <c r="D30" s="198"/>
      <c r="E30" s="13" t="str">
        <f>IFERROR(VLOOKUP(U30,课程清单!A:Q,8,0)&amp;IF(VLOOKUP(U30,课程清单!A:Q,9,0)="","",CHAR(10)&amp;VLOOKUP(U30,课程清单!A:Q,9,0)),"")</f>
        <v>体育（4）
Physical Education(IV)</v>
      </c>
      <c r="F30" s="11" t="str">
        <f>IFERROR(IF(VLOOKUP(U30,课程清单!A:Q,10,0)="","",VLOOKUP(U30,课程清单!A:Q,10,0)),"")</f>
        <v>必修</v>
      </c>
      <c r="G30" s="11" t="str">
        <f>IFERROR(IF(VLOOKUP(U30,课程清单!A:Q,11,0)="","",VLOOKUP(U30,课程清单!A:Q,11,0)),"")</f>
        <v/>
      </c>
      <c r="H30" s="14">
        <f>IFERROR(IF(VLOOKUP(U30,课程清单!A:Q,12,0)="","",VLOOKUP(U30,课程清单!A:Q,12,0)),"")</f>
        <v>1</v>
      </c>
      <c r="I30" s="14">
        <f>IFERROR(IF(VLOOKUP(U30,课程清单!A:Q,13,0)="",0,VLOOKUP(U30,课程清单!A:Q,13,0)),"")</f>
        <v>32</v>
      </c>
      <c r="J30" s="14">
        <f>IFERROR(IF(VLOOKUP(U30,课程清单!A:Q,14,0)="",0,VLOOKUP(U30,课程清单!A:Q,14,0)),"")</f>
        <v>32</v>
      </c>
      <c r="K30" s="25">
        <f>IFERROR(IF(VLOOKUP(U30,课程清单!A:Q,15,0)="",0,VLOOKUP(U30,课程清单!A:Q,15,0)),"")</f>
        <v>0</v>
      </c>
      <c r="L30" s="26" t="str">
        <f>IFERROR(IF(VLOOKUP(U30,课程清单!A:Q,16,0)=$L$4,VLOOKUP(U30,课程清单!A:Q,17,0),""),"")</f>
        <v/>
      </c>
      <c r="M30" s="11" t="str">
        <f>IFERROR(IF(VLOOKUP(U30,课程清单!A:Q,16,0)=$M$4,VLOOKUP(U30,课程清单!A:Q,17,0),""),"")</f>
        <v/>
      </c>
      <c r="N30" s="11" t="str">
        <f>IFERROR(IF(VLOOKUP(U30,课程清单!A:Q,16,0)=$N$4,VLOOKUP(U30,课程清单!A:Q,17,0),""),"")</f>
        <v/>
      </c>
      <c r="O30" s="11">
        <f>IFERROR(IF(VLOOKUP(U30,课程清单!A:Q,16,0)=$O$4,VLOOKUP(U30,课程清单!A:Q,17,0),""),"")</f>
        <v>2</v>
      </c>
      <c r="P30" s="11" t="str">
        <f>IFERROR(IF(VLOOKUP(U30,课程清单!A:Q,16,0)=$P$4,VLOOKUP(U30,课程清单!A:Q,17,0),""),"")</f>
        <v/>
      </c>
      <c r="Q30" s="11" t="str">
        <f>IFERROR(IF(VLOOKUP(U30,课程清单!A:Q,16,0)=$Q$4,VLOOKUP(U30,课程清单!A:Q,17,0),""),"")</f>
        <v/>
      </c>
      <c r="R30" s="11" t="str">
        <f>IFERROR(IF(VLOOKUP(U30,课程清单!A:Q,16,0)=$R$4,VLOOKUP(U30,课程清单!A:Q,17,0),""),"")</f>
        <v/>
      </c>
      <c r="S30" s="11" t="str">
        <f>IFERROR(IF(VLOOKUP(U30,课程清单!A:Q,16,0)=$S$4,VLOOKUP(U30,课程清单!A:Q,17,0),""),"")</f>
        <v/>
      </c>
      <c r="T30" s="7">
        <v>4</v>
      </c>
      <c r="U30" s="2" t="str">
        <f t="shared" si="24"/>
        <v>通识教育课程平台_军体类_4</v>
      </c>
      <c r="V30" s="7">
        <f t="shared" si="6"/>
        <v>24</v>
      </c>
      <c r="W30" s="7">
        <f t="shared" si="16"/>
        <v>1</v>
      </c>
      <c r="X30" s="7">
        <f t="shared" si="17"/>
        <v>32</v>
      </c>
      <c r="Y30" s="109">
        <f t="shared" si="18"/>
        <v>0</v>
      </c>
      <c r="Z30" s="109">
        <f t="shared" si="19"/>
        <v>0</v>
      </c>
      <c r="AA30" s="109">
        <f t="shared" si="20"/>
        <v>0</v>
      </c>
      <c r="AB30" s="109">
        <f t="shared" si="21"/>
        <v>0</v>
      </c>
    </row>
    <row r="31" spans="1:28" ht="25" customHeight="1" x14ac:dyDescent="0.3">
      <c r="A31" s="169"/>
      <c r="B31" s="181"/>
      <c r="C31" s="11">
        <v>25</v>
      </c>
      <c r="D31" s="12" t="str">
        <f>IFERROR(IF(VLOOKUP(U31,课程清单!A:Q,7,0)="","",VLOOKUP(U31,课程清单!A:Q,7,0)),"")</f>
        <v>903005P1</v>
      </c>
      <c r="E31" s="13" t="str">
        <f>IFERROR(VLOOKUP(U31,课程清单!A:Q,8,0)&amp;IF(VLOOKUP(U31,课程清单!A:Q,9,0)="","",CHAR(10)&amp;VLOOKUP(U31,课程清单!A:Q,9,0)),"")</f>
        <v>军事理论
Military Theory</v>
      </c>
      <c r="F31" s="11" t="str">
        <f>IFERROR(IF(VLOOKUP(U31,课程清单!A:Q,10,0)="","",VLOOKUP(U31,课程清单!A:Q,10,0)),"")</f>
        <v>必修</v>
      </c>
      <c r="G31" s="11" t="str">
        <f>IFERROR(IF(VLOOKUP(U31,课程清单!A:Q,11,0)="","",VLOOKUP(U31,课程清单!A:Q,11,0)),"")</f>
        <v/>
      </c>
      <c r="H31" s="14">
        <f>IFERROR(IF(VLOOKUP(U31,课程清单!A:Q,12,0)="","",VLOOKUP(U31,课程清单!A:Q,12,0)),"")</f>
        <v>2</v>
      </c>
      <c r="I31" s="14">
        <f>IFERROR(IF(VLOOKUP(U31,课程清单!A:Q,13,0)="",0,VLOOKUP(U31,课程清单!A:Q,13,0)),"")</f>
        <v>32</v>
      </c>
      <c r="J31" s="14">
        <f>IFERROR(IF(VLOOKUP(U31,课程清单!A:Q,14,0)="",0,VLOOKUP(U31,课程清单!A:Q,14,0)),"")</f>
        <v>32</v>
      </c>
      <c r="K31" s="25">
        <f>IFERROR(IF(VLOOKUP(U31,课程清单!A:Q,15,0)="",0,VLOOKUP(U31,课程清单!A:Q,15,0)),"")</f>
        <v>0</v>
      </c>
      <c r="L31" s="26">
        <f>IFERROR(IF(VLOOKUP(U31,课程清单!A:Q,16,0)=$L$4,VLOOKUP(U31,课程清单!A:Q,17,0),""),"")</f>
        <v>2</v>
      </c>
      <c r="M31" s="11" t="str">
        <f>IFERROR(IF(VLOOKUP(U31,课程清单!A:Q,16,0)=$M$4,VLOOKUP(U31,课程清单!A:Q,17,0),""),"")</f>
        <v/>
      </c>
      <c r="N31" s="11" t="str">
        <f>IFERROR(IF(VLOOKUP(U31,课程清单!A:Q,16,0)=$N$4,VLOOKUP(U31,课程清单!A:Q,17,0),""),"")</f>
        <v/>
      </c>
      <c r="O31" s="11" t="str">
        <f>IFERROR(IF(VLOOKUP(U31,课程清单!A:Q,16,0)=$O$4,VLOOKUP(U31,课程清单!A:Q,17,0),""),"")</f>
        <v/>
      </c>
      <c r="P31" s="11" t="str">
        <f>IFERROR(IF(VLOOKUP(U31,课程清单!A:Q,16,0)=$P$4,VLOOKUP(U31,课程清单!A:Q,17,0),""),"")</f>
        <v/>
      </c>
      <c r="Q31" s="11" t="str">
        <f>IFERROR(IF(VLOOKUP(U31,课程清单!A:Q,16,0)=$Q$4,VLOOKUP(U31,课程清单!A:Q,17,0),""),"")</f>
        <v/>
      </c>
      <c r="R31" s="11" t="str">
        <f>IFERROR(IF(VLOOKUP(U31,课程清单!A:Q,16,0)=$R$4,VLOOKUP(U31,课程清单!A:Q,17,0),""),"")</f>
        <v/>
      </c>
      <c r="S31" s="11" t="str">
        <f>IFERROR(IF(VLOOKUP(U31,课程清单!A:Q,16,0)=$S$4,VLOOKUP(U31,课程清单!A:Q,17,0),""),"")</f>
        <v/>
      </c>
      <c r="T31" s="7">
        <v>5</v>
      </c>
      <c r="U31" s="2" t="str">
        <f t="shared" si="24"/>
        <v>通识教育课程平台_军体类_5</v>
      </c>
      <c r="V31" s="7">
        <f t="shared" si="6"/>
        <v>25</v>
      </c>
      <c r="W31" s="7">
        <f t="shared" si="16"/>
        <v>2</v>
      </c>
      <c r="X31" s="7">
        <f t="shared" si="17"/>
        <v>32</v>
      </c>
      <c r="Y31" s="109">
        <f t="shared" si="18"/>
        <v>0</v>
      </c>
      <c r="Z31" s="109">
        <f t="shared" si="19"/>
        <v>0</v>
      </c>
      <c r="AA31" s="109">
        <f t="shared" si="20"/>
        <v>0</v>
      </c>
      <c r="AB31" s="109">
        <f t="shared" si="21"/>
        <v>0</v>
      </c>
    </row>
    <row r="32" spans="1:28" ht="25" customHeight="1" x14ac:dyDescent="0.3">
      <c r="A32" s="169"/>
      <c r="B32" s="181"/>
      <c r="C32" s="11">
        <v>26</v>
      </c>
      <c r="D32" s="12" t="str">
        <f>IFERROR(IF(VLOOKUP(U32,课程清单!A:Q,7,0)="","",VLOOKUP(U32,课程清单!A:Q,7,0)),"")</f>
        <v>903006P1</v>
      </c>
      <c r="E32" s="13" t="str">
        <f>IFERROR(VLOOKUP(U32,课程清单!A:Q,8,0)&amp;IF(VLOOKUP(U32,课程清单!A:Q,9,0)="","",CHAR(10)&amp;VLOOKUP(U32,课程清单!A:Q,9,0)),"")</f>
        <v>军事技能
Military Skills</v>
      </c>
      <c r="F32" s="11" t="str">
        <f>IFERROR(IF(VLOOKUP(U32,课程清单!A:Q,10,0)="","",VLOOKUP(U32,课程清单!A:Q,10,0)),"")</f>
        <v>必修</v>
      </c>
      <c r="G32" s="11" t="str">
        <f>IFERROR(IF(VLOOKUP(U32,课程清单!A:Q,11,0)="","",VLOOKUP(U32,课程清单!A:Q,11,0)),"")</f>
        <v/>
      </c>
      <c r="H32" s="14">
        <f>IFERROR(IF(VLOOKUP(U32,课程清单!A:Q,12,0)="","",VLOOKUP(U32,课程清单!A:Q,12,0)),"")</f>
        <v>2</v>
      </c>
      <c r="I32" s="14">
        <f>IFERROR(IF(VLOOKUP(U32,课程清单!A:Q,13,0)="",0,VLOOKUP(U32,课程清单!A:Q,13,0)),"")</f>
        <v>40</v>
      </c>
      <c r="J32" s="14">
        <f>IFERROR(IF(VLOOKUP(U32,课程清单!A:Q,14,0)="",0,VLOOKUP(U32,课程清单!A:Q,14,0)),"")</f>
        <v>0</v>
      </c>
      <c r="K32" s="25">
        <f>IFERROR(IF(VLOOKUP(U32,课程清单!A:Q,15,0)="",0,VLOOKUP(U32,课程清单!A:Q,15,0)),"")</f>
        <v>40</v>
      </c>
      <c r="L32" s="97" t="str">
        <f>IFERROR(IF(VLOOKUP(U32,课程清单!A:Q,16,0)=$L$4,VLOOKUP(U32,课程清单!A:Q,17,0),""),"")</f>
        <v>+2</v>
      </c>
      <c r="M32" s="11" t="str">
        <f>IFERROR(IF(VLOOKUP(U32,课程清单!A:Q,16,0)=$M$4,VLOOKUP(U32,课程清单!A:Q,17,0),""),"")</f>
        <v/>
      </c>
      <c r="N32" s="11" t="str">
        <f>IFERROR(IF(VLOOKUP(U32,课程清单!A:Q,16,0)=$N$4,VLOOKUP(U32,课程清单!A:Q,17,0),""),"")</f>
        <v/>
      </c>
      <c r="O32" s="11" t="str">
        <f>IFERROR(IF(VLOOKUP(U32,课程清单!A:Q,16,0)=$O$4,VLOOKUP(U32,课程清单!A:Q,17,0),""),"")</f>
        <v/>
      </c>
      <c r="P32" s="11" t="str">
        <f>IFERROR(IF(VLOOKUP(U32,课程清单!A:Q,16,0)=$P$4,VLOOKUP(U32,课程清单!A:Q,17,0),""),"")</f>
        <v/>
      </c>
      <c r="Q32" s="11" t="str">
        <f>IFERROR(IF(VLOOKUP(U32,课程清单!A:Q,16,0)=$Q$4,VLOOKUP(U32,课程清单!A:Q,17,0),""),"")</f>
        <v/>
      </c>
      <c r="R32" s="11" t="str">
        <f>IFERROR(IF(VLOOKUP(U32,课程清单!A:Q,16,0)=$R$4,VLOOKUP(U32,课程清单!A:Q,17,0),""),"")</f>
        <v/>
      </c>
      <c r="S32" s="11" t="str">
        <f>IFERROR(IF(VLOOKUP(U32,课程清单!A:Q,16,0)=$S$4,VLOOKUP(U32,课程清单!A:Q,17,0),""),"")</f>
        <v/>
      </c>
      <c r="T32" s="7">
        <v>6</v>
      </c>
      <c r="U32" s="2" t="str">
        <f t="shared" si="24"/>
        <v>通识教育课程平台_军体类_6</v>
      </c>
      <c r="V32" s="7">
        <f t="shared" si="6"/>
        <v>26</v>
      </c>
      <c r="W32" s="7">
        <f t="shared" si="16"/>
        <v>0</v>
      </c>
      <c r="X32" s="7">
        <f t="shared" si="17"/>
        <v>0</v>
      </c>
      <c r="Y32" s="109">
        <f t="shared" si="18"/>
        <v>0</v>
      </c>
      <c r="Z32" s="109">
        <f t="shared" si="19"/>
        <v>0</v>
      </c>
      <c r="AA32" s="109">
        <f t="shared" si="20"/>
        <v>2</v>
      </c>
      <c r="AB32" s="109">
        <f t="shared" si="21"/>
        <v>40</v>
      </c>
    </row>
    <row r="33" spans="1:28" ht="25" customHeight="1" x14ac:dyDescent="0.3">
      <c r="A33" s="179"/>
      <c r="B33" s="181"/>
      <c r="C33" s="175" t="s">
        <v>328</v>
      </c>
      <c r="D33" s="175"/>
      <c r="E33" s="175"/>
      <c r="F33" s="11"/>
      <c r="G33" s="11"/>
      <c r="H33" s="17">
        <f>SUM(H27:H32)</f>
        <v>8</v>
      </c>
      <c r="I33" s="17">
        <f t="shared" ref="I33:K33" si="25">SUM(I27:I32)</f>
        <v>200</v>
      </c>
      <c r="J33" s="17">
        <f t="shared" si="25"/>
        <v>160</v>
      </c>
      <c r="K33" s="16">
        <f t="shared" si="25"/>
        <v>40</v>
      </c>
      <c r="L33" s="26" t="str">
        <f>IFERROR(IF(VLOOKUP(U33,课程清单!A:Q,16,0)=$L$4,VLOOKUP(U33,课程清单!A:Q,17,0),""),"")</f>
        <v/>
      </c>
      <c r="M33" s="11" t="str">
        <f>IFERROR(IF(VLOOKUP(U33,课程清单!A:Q,16,0)=$M$4,VLOOKUP(U33,课程清单!A:Q,17,0),""),"")</f>
        <v/>
      </c>
      <c r="N33" s="11" t="str">
        <f>IFERROR(IF(VLOOKUP(U33,课程清单!A:Q,16,0)=$N$4,VLOOKUP(U33,课程清单!A:Q,17,0),""),"")</f>
        <v/>
      </c>
      <c r="O33" s="11" t="str">
        <f>IFERROR(IF(VLOOKUP(U33,课程清单!A:Q,16,0)=$O$4,VLOOKUP(U33,课程清单!A:Q,17,0),""),"")</f>
        <v/>
      </c>
      <c r="P33" s="11" t="str">
        <f>IFERROR(IF(VLOOKUP(U33,课程清单!A:Q,16,0)=$P$4,VLOOKUP(U33,课程清单!A:Q,17,0),""),"")</f>
        <v/>
      </c>
      <c r="Q33" s="11" t="str">
        <f>IFERROR(IF(VLOOKUP(U33,课程清单!A:Q,16,0)=$Q$4,VLOOKUP(U33,课程清单!A:Q,17,0),""),"")</f>
        <v/>
      </c>
      <c r="R33" s="11" t="str">
        <f>IFERROR(IF(VLOOKUP(U33,课程清单!A:Q,16,0)=$R$4,VLOOKUP(U33,课程清单!A:Q,17,0),""),"")</f>
        <v/>
      </c>
      <c r="S33" s="11" t="str">
        <f>IFERROR(IF(VLOOKUP(U33,课程清单!A:Q,16,0)=$S$4,VLOOKUP(U33,课程清单!A:Q,17,0),""),"")</f>
        <v/>
      </c>
      <c r="Y33" s="109"/>
      <c r="Z33" s="109"/>
      <c r="AA33" s="109"/>
      <c r="AB33" s="109"/>
    </row>
    <row r="34" spans="1:28" ht="25" customHeight="1" x14ac:dyDescent="0.3">
      <c r="A34" s="179"/>
      <c r="B34" s="181" t="s">
        <v>54</v>
      </c>
      <c r="C34" s="11">
        <v>27</v>
      </c>
      <c r="D34" s="12" t="str">
        <f>IFERROR(IF(VLOOKUP(U34,课程清单!A:Q,7,0)="","",VLOOKUP(U34,课程清单!A:Q,7,0)),"")</f>
        <v>033466A1</v>
      </c>
      <c r="E34" s="13" t="str">
        <f>IFERROR(VLOOKUP(U34,课程清单!A:Q,8,0)&amp;IF(VLOOKUP(U34,课程清单!A:Q,9,0)="","",CHAR(10)&amp;VLOOKUP(U34,课程清单!A:Q,9,0)),"")</f>
        <v>大学信息技术
College Information Technology</v>
      </c>
      <c r="F34" s="11" t="str">
        <f>IFERROR(IF(VLOOKUP(U34,课程清单!A:Q,10,0)="","",VLOOKUP(U34,课程清单!A:Q,10,0)),"")</f>
        <v>必修</v>
      </c>
      <c r="G34" s="11" t="str">
        <f>IFERROR(IF(VLOOKUP(U34,课程清单!A:Q,11,0)="","",VLOOKUP(U34,课程清单!A:Q,11,0)),"")</f>
        <v/>
      </c>
      <c r="H34" s="14">
        <f>IFERROR(IF(VLOOKUP(U34,课程清单!A:Q,12,0)="","",VLOOKUP(U34,课程清单!A:Q,12,0)),"")</f>
        <v>1</v>
      </c>
      <c r="I34" s="14">
        <f>IFERROR(IF(VLOOKUP(U34,课程清单!A:Q,13,0)="",0,VLOOKUP(U34,课程清单!A:Q,13,0)),"")</f>
        <v>32</v>
      </c>
      <c r="J34" s="14">
        <f>IFERROR(IF(VLOOKUP(U34,课程清单!A:Q,14,0)="",0,VLOOKUP(U34,课程清单!A:Q,14,0)),"")</f>
        <v>0</v>
      </c>
      <c r="K34" s="25">
        <f>IFERROR(IF(VLOOKUP(U34,课程清单!A:Q,15,0)="",0,VLOOKUP(U34,课程清单!A:Q,15,0)),"")</f>
        <v>32</v>
      </c>
      <c r="L34" s="26">
        <f>IFERROR(IF(VLOOKUP(U34,课程清单!A:Q,16,0)=$L$4,VLOOKUP(U34,课程清单!A:Q,17,0),""),"")</f>
        <v>2</v>
      </c>
      <c r="M34" s="11" t="str">
        <f>IFERROR(IF(VLOOKUP(U34,课程清单!A:Q,16,0)=$M$4,VLOOKUP(U34,课程清单!A:Q,17,0),""),"")</f>
        <v/>
      </c>
      <c r="N34" s="11" t="str">
        <f>IFERROR(IF(VLOOKUP(U34,课程清单!A:Q,16,0)=$N$4,VLOOKUP(U34,课程清单!A:Q,17,0),""),"")</f>
        <v/>
      </c>
      <c r="O34" s="11" t="str">
        <f>IFERROR(IF(VLOOKUP(U34,课程清单!A:Q,16,0)=$O$4,VLOOKUP(U34,课程清单!A:Q,17,0),""),"")</f>
        <v/>
      </c>
      <c r="P34" s="11" t="str">
        <f>IFERROR(IF(VLOOKUP(U34,课程清单!A:Q,16,0)=$P$4,VLOOKUP(U34,课程清单!A:Q,17,0),""),"")</f>
        <v/>
      </c>
      <c r="Q34" s="11" t="str">
        <f>IFERROR(IF(VLOOKUP(U34,课程清单!A:Q,16,0)=$Q$4,VLOOKUP(U34,课程清单!A:Q,17,0),""),"")</f>
        <v/>
      </c>
      <c r="R34" s="11" t="str">
        <f>IFERROR(IF(VLOOKUP(U34,课程清单!A:Q,16,0)=$R$4,VLOOKUP(U34,课程清单!A:Q,17,0),""),"")</f>
        <v/>
      </c>
      <c r="S34" s="11" t="str">
        <f>IFERROR(IF(VLOOKUP(U34,课程清单!A:Q,16,0)=$S$4,VLOOKUP(U34,课程清单!A:Q,17,0),""),"")</f>
        <v/>
      </c>
      <c r="T34" s="7">
        <v>1</v>
      </c>
      <c r="U34" s="2" t="str">
        <f>"通识教育课程平台_"&amp;$B$34&amp;"_"&amp;T34</f>
        <v>通识教育课程平台_计算机类_1</v>
      </c>
      <c r="V34" s="7">
        <f t="shared" si="6"/>
        <v>27</v>
      </c>
      <c r="W34" s="7">
        <f t="shared" si="16"/>
        <v>0</v>
      </c>
      <c r="X34" s="7">
        <f t="shared" si="17"/>
        <v>0</v>
      </c>
      <c r="Y34" s="109">
        <f t="shared" si="18"/>
        <v>1</v>
      </c>
      <c r="Z34" s="109">
        <f t="shared" si="19"/>
        <v>32</v>
      </c>
      <c r="AA34" s="109">
        <f t="shared" si="20"/>
        <v>0</v>
      </c>
      <c r="AB34" s="109">
        <f t="shared" si="21"/>
        <v>0</v>
      </c>
    </row>
    <row r="35" spans="1:28" ht="25" customHeight="1" x14ac:dyDescent="0.3">
      <c r="A35" s="179"/>
      <c r="B35" s="181"/>
      <c r="C35" s="175" t="s">
        <v>329</v>
      </c>
      <c r="D35" s="175"/>
      <c r="E35" s="175"/>
      <c r="F35" s="11"/>
      <c r="G35" s="11"/>
      <c r="H35" s="17">
        <f>SUM(H34)</f>
        <v>1</v>
      </c>
      <c r="I35" s="17">
        <f t="shared" ref="I35:K35" si="26">SUM(I34)</f>
        <v>32</v>
      </c>
      <c r="J35" s="17">
        <f t="shared" si="26"/>
        <v>0</v>
      </c>
      <c r="K35" s="16">
        <f t="shared" si="26"/>
        <v>32</v>
      </c>
      <c r="L35" s="26" t="str">
        <f>IFERROR(IF(VLOOKUP(U35,课程清单!A:Q,16,0)=$L$4,VLOOKUP(U35,课程清单!A:Q,17,0),""),"")</f>
        <v/>
      </c>
      <c r="M35" s="11" t="str">
        <f>IFERROR(IF(VLOOKUP(U35,课程清单!A:Q,16,0)=$M$4,VLOOKUP(U35,课程清单!A:Q,17,0),""),"")</f>
        <v/>
      </c>
      <c r="N35" s="11" t="str">
        <f>IFERROR(IF(VLOOKUP(U35,课程清单!A:Q,16,0)=$N$4,VLOOKUP(U35,课程清单!A:Q,17,0),""),"")</f>
        <v/>
      </c>
      <c r="O35" s="11" t="str">
        <f>IFERROR(IF(VLOOKUP(U35,课程清单!A:Q,16,0)=$O$4,VLOOKUP(U35,课程清单!A:Q,17,0),""),"")</f>
        <v/>
      </c>
      <c r="P35" s="11" t="str">
        <f>IFERROR(IF(VLOOKUP(U35,课程清单!A:Q,16,0)=$P$4,VLOOKUP(U35,课程清单!A:Q,17,0),""),"")</f>
        <v/>
      </c>
      <c r="Q35" s="11" t="str">
        <f>IFERROR(IF(VLOOKUP(U35,课程清单!A:Q,16,0)=$Q$4,VLOOKUP(U35,课程清单!A:Q,17,0),""),"")</f>
        <v/>
      </c>
      <c r="R35" s="11" t="str">
        <f>IFERROR(IF(VLOOKUP(U35,课程清单!A:Q,16,0)=$R$4,VLOOKUP(U35,课程清单!A:Q,17,0),""),"")</f>
        <v/>
      </c>
      <c r="S35" s="11" t="str">
        <f>IFERROR(IF(VLOOKUP(U35,课程清单!A:Q,16,0)=$S$4,VLOOKUP(U35,课程清单!A:Q,17,0),""),"")</f>
        <v/>
      </c>
      <c r="Y35" s="109"/>
      <c r="Z35" s="109"/>
      <c r="AA35" s="109"/>
      <c r="AB35" s="109"/>
    </row>
    <row r="36" spans="1:28" ht="25" customHeight="1" x14ac:dyDescent="0.3">
      <c r="A36" s="179"/>
      <c r="B36" s="168" t="s">
        <v>55</v>
      </c>
      <c r="C36" s="19">
        <v>28</v>
      </c>
      <c r="D36" s="12" t="s">
        <v>150</v>
      </c>
      <c r="E36" s="20" t="str">
        <f>IFERROR(VLOOKUP(U36,课程清单!A:Q,8,0)&amp;IF(VLOOKUP(U36,课程清单!A:Q,9,0)="","",CHAR(10)&amp;VLOOKUP(U36,课程清单!A:Q,9,0)),"")</f>
        <v>创新创业教育
Innovation and Entrepreneurship</v>
      </c>
      <c r="F36" s="11" t="str">
        <f>IFERROR(IF(VLOOKUP(U36,课程清单!A:Q,10,0)="","",VLOOKUP(U36,课程清单!A:Q,10,0)),"")</f>
        <v>必修</v>
      </c>
      <c r="G36" s="11" t="str">
        <f>IFERROR(IF(VLOOKUP(U36,课程清单!A:Q,11,0)="","",VLOOKUP(U36,课程清单!A:Q,11,0)),"")</f>
        <v/>
      </c>
      <c r="H36" s="14">
        <f>IFERROR(IF(VLOOKUP(U36,课程清单!A:Q,12,0)="","",VLOOKUP(U36,课程清单!A:Q,12,0)),"")</f>
        <v>1</v>
      </c>
      <c r="I36" s="14">
        <f>IFERROR(IF(VLOOKUP(U36,课程清单!A:Q,13,0)="",0,VLOOKUP(U36,课程清单!A:Q,13,0)),"")</f>
        <v>16</v>
      </c>
      <c r="J36" s="14">
        <f>IFERROR(IF(VLOOKUP(U36,课程清单!A:Q,14,0)="",0,VLOOKUP(U36,课程清单!A:Q,14,0)),"")</f>
        <v>16</v>
      </c>
      <c r="K36" s="25">
        <f>IFERROR(IF(VLOOKUP(U36,课程清单!A:Q,15,0)="",0,VLOOKUP(U36,课程清单!A:Q,15,0)),"")</f>
        <v>0</v>
      </c>
      <c r="L36" s="26" t="str">
        <f>IFERROR(IF(VLOOKUP(U36,课程清单!A:Q,16,0)=$L$4,VLOOKUP(U36,课程清单!A:Q,17,0),""),"")</f>
        <v/>
      </c>
      <c r="M36" s="11" t="str">
        <f>IFERROR(IF(VLOOKUP(U36,课程清单!A:Q,16,0)=$M$4,VLOOKUP(U36,课程清单!A:Q,17,0),""),"")</f>
        <v/>
      </c>
      <c r="N36" s="11" t="str">
        <f>IFERROR(IF(VLOOKUP(U36,课程清单!A:Q,16,0)=$N$4,VLOOKUP(U36,课程清单!A:Q,17,0),""),"")</f>
        <v/>
      </c>
      <c r="O36" s="11">
        <f>IFERROR(IF(VLOOKUP(U36,课程清单!A:Q,16,0)=$O$4,VLOOKUP(U36,课程清单!A:Q,17,0),""),"")</f>
        <v>1</v>
      </c>
      <c r="P36" s="11" t="str">
        <f>IFERROR(IF(VLOOKUP(U36,课程清单!A:Q,16,0)=$P$4,VLOOKUP(U36,课程清单!A:Q,17,0),""),"")</f>
        <v/>
      </c>
      <c r="Q36" s="11" t="str">
        <f>IFERROR(IF(VLOOKUP(U36,课程清单!A:Q,16,0)=$Q$4,VLOOKUP(U36,课程清单!A:Q,17,0),""),"")</f>
        <v/>
      </c>
      <c r="R36" s="11" t="str">
        <f>IFERROR(IF(VLOOKUP(U36,课程清单!A:Q,16,0)=$R$4,VLOOKUP(U36,课程清单!A:Q,17,0),""),"")</f>
        <v/>
      </c>
      <c r="S36" s="11" t="str">
        <f>IFERROR(IF(VLOOKUP(U36,课程清单!A:Q,16,0)=$S$4,VLOOKUP(U36,课程清单!A:Q,17,0),""),"")</f>
        <v/>
      </c>
      <c r="T36" s="7">
        <v>1</v>
      </c>
      <c r="U36" s="2" t="str">
        <f>"通识教育课程平台_"&amp;$B$36&amp;"_"&amp;T36</f>
        <v>通识教育课程平台_创新创业类_1</v>
      </c>
      <c r="V36" s="7">
        <f t="shared" si="6"/>
        <v>28</v>
      </c>
      <c r="W36" s="7">
        <f t="shared" si="16"/>
        <v>1</v>
      </c>
      <c r="X36" s="7">
        <f t="shared" si="17"/>
        <v>16</v>
      </c>
      <c r="Y36" s="109">
        <f t="shared" si="18"/>
        <v>0</v>
      </c>
      <c r="Z36" s="109">
        <f t="shared" si="19"/>
        <v>0</v>
      </c>
      <c r="AA36" s="109">
        <f t="shared" ref="AA36:AA37" si="27">IF(_xlfn.IFNA(MATCH("+*",L36:S36,0),-1)&lt;&gt;-1,H36,0)</f>
        <v>0</v>
      </c>
      <c r="AB36" s="109">
        <f t="shared" ref="AB36:AB37" si="28">IF(AA36=0,0,K36)</f>
        <v>0</v>
      </c>
    </row>
    <row r="37" spans="1:28" ht="25" customHeight="1" x14ac:dyDescent="0.3">
      <c r="A37" s="179"/>
      <c r="B37" s="169"/>
      <c r="C37" s="11">
        <v>29</v>
      </c>
      <c r="D37" s="12" t="str">
        <f>IFERROR(IF(VLOOKUP(U37,课程清单!A:Q,7,0)="","",VLOOKUP(U37,课程清单!A:Q,7,0)),"")</f>
        <v>593001F1</v>
      </c>
      <c r="E37" s="20" t="str">
        <f>IFERROR(VLOOKUP(U37,课程清单!A:Q,8,0)&amp;IF(VLOOKUP(U37,课程清单!A:Q,9,0)="","",CHAR(10)&amp;VLOOKUP(U37,课程清单!A:Q,9,0)),"")</f>
        <v>创新创业教育实践
Innovation and Entrepreneurship Practice</v>
      </c>
      <c r="F37" s="11" t="str">
        <f>IFERROR(IF(VLOOKUP(U37,课程清单!A:Q,10,0)="","",VLOOKUP(U37,课程清单!A:Q,10,0)),"")</f>
        <v>必修</v>
      </c>
      <c r="G37" s="11" t="str">
        <f>IFERROR(IF(VLOOKUP(U37,课程清单!A:Q,11,0)="","",VLOOKUP(U37,课程清单!A:Q,11,0)),"")</f>
        <v/>
      </c>
      <c r="H37" s="14">
        <f>IFERROR(IF(VLOOKUP(U37,课程清单!A:Q,12,0)="","",VLOOKUP(U37,课程清单!A:Q,12,0)),"")</f>
        <v>1</v>
      </c>
      <c r="I37" s="14">
        <f>IFERROR(IF(VLOOKUP(U37,课程清单!A:Q,13,0)="",0,VLOOKUP(U37,课程清单!A:Q,13,0)),"")</f>
        <v>32</v>
      </c>
      <c r="J37" s="14">
        <f>IFERROR(IF(VLOOKUP(U37,课程清单!A:Q,14,0)="",0,VLOOKUP(U37,课程清单!A:Q,14,0)),"")</f>
        <v>0</v>
      </c>
      <c r="K37" s="25">
        <f>IFERROR(IF(VLOOKUP(U37,课程清单!A:Q,15,0)="",0,VLOOKUP(U37,课程清单!A:Q,15,0)),"")</f>
        <v>32</v>
      </c>
      <c r="L37" s="26" t="str">
        <f>IFERROR(IF(VLOOKUP(U37,课程清单!A:Q,16,0)=$L$4,VLOOKUP(U37,课程清单!A:Q,17,0),""),"")</f>
        <v/>
      </c>
      <c r="M37" s="11" t="str">
        <f>IFERROR(IF(VLOOKUP(U37,课程清单!A:Q,16,0)=$M$4,VLOOKUP(U37,课程清单!A:Q,17,0),""),"")</f>
        <v/>
      </c>
      <c r="N37" s="11" t="str">
        <f>IFERROR(IF(VLOOKUP(U37,课程清单!A:Q,16,0)=$N$4,VLOOKUP(U37,课程清单!A:Q,17,0),""),"")</f>
        <v/>
      </c>
      <c r="O37" s="11" t="str">
        <f>IFERROR(IF(VLOOKUP(U37,课程清单!A:Q,16,0)=$O$4,VLOOKUP(U37,课程清单!A:Q,17,0),""),"")</f>
        <v/>
      </c>
      <c r="P37" s="11" t="str">
        <f>IFERROR(IF(VLOOKUP(U37,课程清单!A:Q,16,0)=$P$4,VLOOKUP(U37,课程清单!A:Q,17,0),""),"")</f>
        <v/>
      </c>
      <c r="Q37" s="11" t="str">
        <f>IFERROR(IF(VLOOKUP(U37,课程清单!A:Q,16,0)=$Q$4,VLOOKUP(U37,课程清单!A:Q,17,0),""),"")</f>
        <v/>
      </c>
      <c r="R37" s="11" t="str">
        <f>IFERROR(IF(VLOOKUP(U37,课程清单!A:Q,16,0)=$R$4,VLOOKUP(U37,课程清单!A:Q,17,0),""),"")</f>
        <v/>
      </c>
      <c r="S37" s="11" t="str">
        <f>IFERROR(IF(VLOOKUP(U37,课程清单!A:Q,16,0)=$S$4,VLOOKUP(U37,课程清单!A:Q,17,0),""),"")</f>
        <v/>
      </c>
      <c r="T37" s="7">
        <v>2</v>
      </c>
      <c r="U37" s="2" t="str">
        <f>"通识教育课程平台_"&amp;$B$36&amp;"_"&amp;T37</f>
        <v>通识教育课程平台_创新创业类_2</v>
      </c>
      <c r="V37" s="7">
        <f t="shared" si="6"/>
        <v>29</v>
      </c>
      <c r="W37" s="7">
        <f t="shared" si="16"/>
        <v>0</v>
      </c>
      <c r="X37" s="7">
        <f t="shared" si="17"/>
        <v>0</v>
      </c>
      <c r="Y37" s="109">
        <f t="shared" si="18"/>
        <v>1</v>
      </c>
      <c r="Z37" s="109">
        <f t="shared" si="19"/>
        <v>32</v>
      </c>
      <c r="AA37" s="109">
        <f t="shared" si="27"/>
        <v>0</v>
      </c>
      <c r="AB37" s="109">
        <f t="shared" si="28"/>
        <v>0</v>
      </c>
    </row>
    <row r="38" spans="1:28" ht="25" customHeight="1" x14ac:dyDescent="0.3">
      <c r="A38" s="179"/>
      <c r="B38" s="170"/>
      <c r="C38" s="176" t="s">
        <v>330</v>
      </c>
      <c r="D38" s="177"/>
      <c r="E38" s="178"/>
      <c r="F38" s="11"/>
      <c r="G38" s="11"/>
      <c r="H38" s="17">
        <f>SUM(H36:H37)</f>
        <v>2</v>
      </c>
      <c r="I38" s="17">
        <f t="shared" ref="I38:K38" si="29">SUM(I36:I37)</f>
        <v>48</v>
      </c>
      <c r="J38" s="17">
        <f t="shared" si="29"/>
        <v>16</v>
      </c>
      <c r="K38" s="16">
        <f t="shared" si="29"/>
        <v>32</v>
      </c>
      <c r="L38" s="26" t="str">
        <f>IFERROR(IF(VLOOKUP(U38,课程清单!A:Q,16,0)=$L$4,VLOOKUP(U38,课程清单!A:Q,17,0),""),"")</f>
        <v/>
      </c>
      <c r="M38" s="11" t="str">
        <f>IFERROR(IF(VLOOKUP(U38,课程清单!A:Q,16,0)=$M$4,VLOOKUP(U38,课程清单!A:Q,17,0),""),"")</f>
        <v/>
      </c>
      <c r="N38" s="11" t="str">
        <f>IFERROR(IF(VLOOKUP(U38,课程清单!A:Q,16,0)=$N$4,VLOOKUP(U38,课程清单!A:Q,17,0),""),"")</f>
        <v/>
      </c>
      <c r="O38" s="11" t="str">
        <f>IFERROR(IF(VLOOKUP(U38,课程清单!A:Q,16,0)=$O$4,VLOOKUP(U38,课程清单!A:Q,17,0),""),"")</f>
        <v/>
      </c>
      <c r="P38" s="11" t="str">
        <f>IFERROR(IF(VLOOKUP(U38,课程清单!A:Q,16,0)=$P$4,VLOOKUP(U38,课程清单!A:Q,17,0),""),"")</f>
        <v/>
      </c>
      <c r="Q38" s="11" t="str">
        <f>IFERROR(IF(VLOOKUP(U38,课程清单!A:Q,16,0)=$Q$4,VLOOKUP(U38,课程清单!A:Q,17,0),""),"")</f>
        <v/>
      </c>
      <c r="R38" s="11" t="str">
        <f>IFERROR(IF(VLOOKUP(U38,课程清单!A:Q,16,0)=$R$4,VLOOKUP(U38,课程清单!A:Q,17,0),""),"")</f>
        <v/>
      </c>
      <c r="S38" s="11" t="str">
        <f>IFERROR(IF(VLOOKUP(U38,课程清单!A:Q,16,0)=$S$4,VLOOKUP(U38,课程清单!A:Q,17,0),""),"")</f>
        <v/>
      </c>
      <c r="Y38" s="109"/>
      <c r="Z38" s="109"/>
      <c r="AA38" s="109"/>
      <c r="AB38" s="109"/>
    </row>
    <row r="39" spans="1:28" ht="25" customHeight="1" x14ac:dyDescent="0.3">
      <c r="A39" s="179"/>
      <c r="B39" s="171" t="s">
        <v>57</v>
      </c>
      <c r="C39" s="11">
        <v>30</v>
      </c>
      <c r="D39" s="12" t="str">
        <f>IFERROR(IF(VLOOKUP(U39,课程清单!A:Q,7,0)="","",VLOOKUP(U39,课程清单!A:Q,7,0)),"")</f>
        <v>053016R1</v>
      </c>
      <c r="E39" s="13" t="str">
        <f>IFERROR(VLOOKUP(U39,课程清单!A:Q,8,0)&amp;IF(VLOOKUP(U39,课程清单!A:Q,9,0)="","",CHAR(10)&amp;VLOOKUP(U39,课程清单!A:Q,9,0)),"")</f>
        <v>劳动教育
Labor Education</v>
      </c>
      <c r="F39" s="11" t="str">
        <f>IFERROR(IF(VLOOKUP(U39,课程清单!A:Q,10,0)="","",VLOOKUP(U39,课程清单!A:Q,10,0)),"")</f>
        <v>必修</v>
      </c>
      <c r="G39" s="11" t="str">
        <f>IFERROR(IF(VLOOKUP(U39,课程清单!A:Q,11,0)="","",VLOOKUP(U39,课程清单!A:Q,11,0)),"")</f>
        <v/>
      </c>
      <c r="H39" s="14">
        <f>IFERROR(IF(VLOOKUP(U39,课程清单!A:Q,12,0)="","",VLOOKUP(U39,课程清单!A:Q,12,0)),"")</f>
        <v>1</v>
      </c>
      <c r="I39" s="14">
        <f>IFERROR(IF(VLOOKUP(U39,课程清单!A:Q,13,0)="",0,VLOOKUP(U39,课程清单!A:Q,13,0)),"")</f>
        <v>16</v>
      </c>
      <c r="J39" s="14">
        <f>IFERROR(IF(VLOOKUP(U39,课程清单!A:Q,14,0)="",0,VLOOKUP(U39,课程清单!A:Q,14,0)),"")</f>
        <v>16</v>
      </c>
      <c r="K39" s="25">
        <f>IFERROR(IF(VLOOKUP(U39,课程清单!A:Q,15,0)="",0,VLOOKUP(U39,课程清单!A:Q,15,0)),"")</f>
        <v>0</v>
      </c>
      <c r="L39" s="26" t="str">
        <f>IFERROR(IF(VLOOKUP(U39,课程清单!A:Q,16,0)=$L$4,VLOOKUP(U39,课程清单!A:Q,17,0),""),"")</f>
        <v/>
      </c>
      <c r="M39" s="11" t="str">
        <f>IFERROR(IF(VLOOKUP(U39,课程清单!A:Q,16,0)=$M$4,VLOOKUP(U39,课程清单!A:Q,17,0),""),"")</f>
        <v/>
      </c>
      <c r="N39" s="11">
        <f>IFERROR(IF(VLOOKUP(U39,课程清单!A:Q,16,0)=$N$4,VLOOKUP(U39,课程清单!A:Q,17,0),""),"")</f>
        <v>1</v>
      </c>
      <c r="O39" s="11" t="str">
        <f>IFERROR(IF(VLOOKUP(U39,课程清单!A:Q,16,0)=$O$4,VLOOKUP(U39,课程清单!A:Q,17,0),""),"")</f>
        <v/>
      </c>
      <c r="P39" s="11" t="str">
        <f>IFERROR(IF(VLOOKUP(U39,课程清单!A:Q,16,0)=$P$4,VLOOKUP(U39,课程清单!A:Q,17,0),""),"")</f>
        <v/>
      </c>
      <c r="Q39" s="11" t="str">
        <f>IFERROR(IF(VLOOKUP(U39,课程清单!A:Q,16,0)=$Q$4,VLOOKUP(U39,课程清单!A:Q,17,0),""),"")</f>
        <v/>
      </c>
      <c r="R39" s="11" t="str">
        <f>IFERROR(IF(VLOOKUP(U39,课程清单!A:Q,16,0)=$R$4,VLOOKUP(U39,课程清单!A:Q,17,0),""),"")</f>
        <v/>
      </c>
      <c r="S39" s="11" t="str">
        <f>IFERROR(IF(VLOOKUP(U39,课程清单!A:Q,16,0)=$S$4,VLOOKUP(U39,课程清单!A:Q,17,0),""),"")</f>
        <v/>
      </c>
      <c r="T39" s="7">
        <v>1</v>
      </c>
      <c r="U39" s="2" t="str">
        <f>"通识教育课程平台_"&amp;$B$39&amp;"_"&amp;T39</f>
        <v>通识教育课程平台_劳动教育类_1</v>
      </c>
      <c r="V39" s="7">
        <f t="shared" si="6"/>
        <v>30</v>
      </c>
      <c r="W39" s="7">
        <f t="shared" ref="W39:W40" si="30">IF(_xlfn.IFNA(MATCH("+*",L39:S39,0),-1)=-1,H39*IF(J39="",0,J39)/I39,0)</f>
        <v>1</v>
      </c>
      <c r="X39" s="7">
        <f t="shared" ref="X39:X40" si="31">IF(_xlfn.IFNA(MATCH("+*",L39:S39,0),-1)=-1,J39,0)</f>
        <v>16</v>
      </c>
      <c r="Y39" s="109">
        <f t="shared" ref="Y39:Y40" si="32">IF(_xlfn.IFNA(MATCH("+*",L39:S39,0),-1)=-1,H39*IF(K39="",0,K39)/I39,0)</f>
        <v>0</v>
      </c>
      <c r="Z39" s="109">
        <f t="shared" ref="Z39:Z40" si="33">IF(_xlfn.IFNA(MATCH("+*",L39:S39,0),-1)=-1,IF(K39="",0,K39),0)</f>
        <v>0</v>
      </c>
      <c r="AA39" s="109">
        <f t="shared" ref="AA39:AA40" si="34">IF(_xlfn.IFNA(MATCH("+*",L39:S39,0),-1)&lt;&gt;-1,H39,0)</f>
        <v>0</v>
      </c>
      <c r="AB39" s="109">
        <f t="shared" ref="AB39:AB40" si="35">IF(AA39=0,0,K39)</f>
        <v>0</v>
      </c>
    </row>
    <row r="40" spans="1:28" ht="25" customHeight="1" x14ac:dyDescent="0.3">
      <c r="A40" s="179"/>
      <c r="B40" s="172"/>
      <c r="C40" s="11">
        <v>31</v>
      </c>
      <c r="D40" s="12" t="str">
        <f>IFERROR(IF(VLOOKUP(U40,课程清单!A:Q,7,0)="","",VLOOKUP(U40,课程清单!A:Q,7,0)),"")</f>
        <v>903007P1</v>
      </c>
      <c r="E40" s="13" t="str">
        <f>IFERROR(VLOOKUP(U40,课程清单!A:Q,8,0)&amp;IF(VLOOKUP(U40,课程清单!A:Q,9,0)="","",CHAR(10)&amp;VLOOKUP(U40,课程清单!A:Q,9,0)),"")</f>
        <v>劳动教育实践
Labor Education Practice</v>
      </c>
      <c r="F40" s="11" t="str">
        <f>IFERROR(IF(VLOOKUP(U40,课程清单!A:Q,10,0)="","",VLOOKUP(U40,课程清单!A:Q,10,0)),"")</f>
        <v>必修</v>
      </c>
      <c r="G40" s="11" t="str">
        <f>IFERROR(IF(VLOOKUP(U40,课程清单!A:Q,11,0)="","",VLOOKUP(U40,课程清单!A:Q,11,0)),"")</f>
        <v/>
      </c>
      <c r="H40" s="14">
        <f>IFERROR(IF(VLOOKUP(U40,课程清单!A:Q,12,0)="","",VLOOKUP(U40,课程清单!A:Q,12,0)),"")</f>
        <v>1</v>
      </c>
      <c r="I40" s="14">
        <f>IFERROR(IF(VLOOKUP(U40,课程清单!A:Q,13,0)="",0,VLOOKUP(U40,课程清单!A:Q,13,0)),"")</f>
        <v>32</v>
      </c>
      <c r="J40" s="14">
        <f>IFERROR(IF(VLOOKUP(U40,课程清单!A:Q,14,0)="",0,VLOOKUP(U40,课程清单!A:Q,14,0)),"")</f>
        <v>0</v>
      </c>
      <c r="K40" s="25">
        <f>IFERROR(IF(VLOOKUP(U40,课程清单!A:Q,15,0)="",0,VLOOKUP(U40,课程清单!A:Q,15,0)),"")</f>
        <v>32</v>
      </c>
      <c r="L40" s="26" t="str">
        <f>IFERROR(IF(VLOOKUP(U40,课程清单!A:Q,16,0)=$L$4,VLOOKUP(U40,课程清单!A:Q,17,0),""),"")</f>
        <v/>
      </c>
      <c r="M40" s="11" t="str">
        <f>IFERROR(IF(VLOOKUP(U40,课程清单!A:Q,16,0)=$M$4,VLOOKUP(U40,课程清单!A:Q,17,0),""),"")</f>
        <v/>
      </c>
      <c r="N40" s="11" t="str">
        <f>IFERROR(IF(VLOOKUP(U40,课程清单!A:Q,16,0)=$N$4,VLOOKUP(U40,课程清单!A:Q,17,0),""),"")</f>
        <v/>
      </c>
      <c r="O40" s="11" t="str">
        <f>IFERROR(IF(VLOOKUP(U40,课程清单!A:Q,16,0)=$O$4,VLOOKUP(U40,课程清单!A:Q,17,0),""),"")</f>
        <v/>
      </c>
      <c r="P40" s="11" t="str">
        <f>IFERROR(IF(VLOOKUP(U40,课程清单!A:Q,16,0)=$P$4,VLOOKUP(U40,课程清单!A:Q,17,0),""),"")</f>
        <v/>
      </c>
      <c r="Q40" s="11" t="str">
        <f>IFERROR(IF(VLOOKUP(U40,课程清单!A:Q,16,0)=$Q$4,VLOOKUP(U40,课程清单!A:Q,17,0),""),"")</f>
        <v/>
      </c>
      <c r="R40" s="11" t="str">
        <f>IFERROR(IF(VLOOKUP(U40,课程清单!A:Q,16,0)=$R$4,VLOOKUP(U40,课程清单!A:Q,17,0),""),"")</f>
        <v/>
      </c>
      <c r="S40" s="11" t="str">
        <f>IFERROR(IF(VLOOKUP(U40,课程清单!A:Q,16,0)=$S$4,VLOOKUP(U40,课程清单!A:Q,17,0),""),"")</f>
        <v/>
      </c>
      <c r="T40" s="7">
        <v>2</v>
      </c>
      <c r="U40" s="2" t="str">
        <f>"通识教育课程平台_"&amp;$B$39&amp;"_"&amp;T40</f>
        <v>通识教育课程平台_劳动教育类_2</v>
      </c>
      <c r="V40" s="7">
        <f t="shared" si="6"/>
        <v>31</v>
      </c>
      <c r="W40" s="7">
        <f t="shared" si="30"/>
        <v>0</v>
      </c>
      <c r="X40" s="7">
        <f t="shared" si="31"/>
        <v>0</v>
      </c>
      <c r="Y40" s="109">
        <f t="shared" si="32"/>
        <v>1</v>
      </c>
      <c r="Z40" s="109">
        <f t="shared" si="33"/>
        <v>32</v>
      </c>
      <c r="AA40" s="109">
        <f t="shared" si="34"/>
        <v>0</v>
      </c>
      <c r="AB40" s="109">
        <f t="shared" si="35"/>
        <v>0</v>
      </c>
    </row>
    <row r="41" spans="1:28" ht="25" customHeight="1" x14ac:dyDescent="0.3">
      <c r="A41" s="179"/>
      <c r="B41" s="173"/>
      <c r="C41" s="176" t="s">
        <v>331</v>
      </c>
      <c r="D41" s="177"/>
      <c r="E41" s="178"/>
      <c r="F41" s="11"/>
      <c r="G41" s="11"/>
      <c r="H41" s="17">
        <f>SUM(H39:H40)</f>
        <v>2</v>
      </c>
      <c r="I41" s="17">
        <f t="shared" ref="I41:K41" si="36">SUM(I39:I40)</f>
        <v>48</v>
      </c>
      <c r="J41" s="17">
        <f t="shared" si="36"/>
        <v>16</v>
      </c>
      <c r="K41" s="16">
        <f t="shared" si="36"/>
        <v>32</v>
      </c>
      <c r="L41" s="26" t="str">
        <f>IFERROR(IF(VLOOKUP(U41,课程清单!A:Q,16,0)=$L$4,VLOOKUP(U41,课程清单!A:Q,17,0),""),"")</f>
        <v/>
      </c>
      <c r="M41" s="11" t="str">
        <f>IFERROR(IF(VLOOKUP(U41,课程清单!A:Q,16,0)=$M$4,VLOOKUP(U41,课程清单!A:Q,17,0),""),"")</f>
        <v/>
      </c>
      <c r="N41" s="11" t="str">
        <f>IFERROR(IF(VLOOKUP(U41,课程清单!A:Q,16,0)=$N$4,VLOOKUP(U41,课程清单!A:Q,17,0),""),"")</f>
        <v/>
      </c>
      <c r="O41" s="11" t="str">
        <f>IFERROR(IF(VLOOKUP(U41,课程清单!A:Q,16,0)=$O$4,VLOOKUP(U41,课程清单!A:Q,17,0),""),"")</f>
        <v/>
      </c>
      <c r="P41" s="11" t="str">
        <f>IFERROR(IF(VLOOKUP(U41,课程清单!A:Q,16,0)=$P$4,VLOOKUP(U41,课程清单!A:Q,17,0),""),"")</f>
        <v/>
      </c>
      <c r="Q41" s="11" t="str">
        <f>IFERROR(IF(VLOOKUP(U41,课程清单!A:Q,16,0)=$Q$4,VLOOKUP(U41,课程清单!A:Q,17,0),""),"")</f>
        <v/>
      </c>
      <c r="R41" s="11" t="str">
        <f>IFERROR(IF(VLOOKUP(U41,课程清单!A:Q,16,0)=$R$4,VLOOKUP(U41,课程清单!A:Q,17,0),""),"")</f>
        <v/>
      </c>
      <c r="S41" s="11" t="str">
        <f>IFERROR(IF(VLOOKUP(U41,课程清单!A:Q,16,0)=$S$4,VLOOKUP(U41,课程清单!A:Q,17,0),""),"")</f>
        <v/>
      </c>
      <c r="Y41" s="109"/>
      <c r="Z41" s="109"/>
      <c r="AA41" s="109"/>
      <c r="AB41" s="109"/>
    </row>
    <row r="42" spans="1:28" ht="25" customHeight="1" x14ac:dyDescent="0.3">
      <c r="A42" s="179"/>
      <c r="B42" s="171" t="s">
        <v>58</v>
      </c>
      <c r="C42" s="11">
        <v>32</v>
      </c>
      <c r="D42" s="12" t="str">
        <f>IFERROR(IF(VLOOKUP(U42,课程清单!A:Q,7,0)="","",VLOOKUP(U42,课程清单!A:Q,7,0)),"")</f>
        <v>见美育课程一览表</v>
      </c>
      <c r="E42" s="13" t="str">
        <f>IFERROR(VLOOKUP(U42,课程清单!A:Q,8,0)&amp;IF(VLOOKUP(U42,课程清单!A:Q,9,0)="","",CHAR(10)&amp;VLOOKUP(U42,课程清单!A:Q,9,0)),"")</f>
        <v>美育课程
Aesthetic Education Course</v>
      </c>
      <c r="F42" s="11" t="str">
        <f>IFERROR(IF(VLOOKUP(U42,课程清单!A:Q,10,0)="","",VLOOKUP(U42,课程清单!A:Q,10,0)),"")</f>
        <v>限选</v>
      </c>
      <c r="G42" s="11" t="str">
        <f>IFERROR(IF(VLOOKUP(U42,课程清单!A:Q,11,0)="","",VLOOKUP(U42,课程清单!A:Q,11,0)),"")</f>
        <v/>
      </c>
      <c r="H42" s="14">
        <f>IFERROR(IF(VLOOKUP(U42,课程清单!A:Q,12,0)="","",VLOOKUP(U42,课程清单!A:Q,12,0)),"")</f>
        <v>2</v>
      </c>
      <c r="I42" s="14">
        <f>IFERROR(IF(VLOOKUP(U42,课程清单!A:Q,13,0)="",0,VLOOKUP(U42,课程清单!A:Q,13,0)),"")</f>
        <v>32</v>
      </c>
      <c r="J42" s="14">
        <f>IFERROR(IF(VLOOKUP(U42,课程清单!A:Q,14,0)="",0,VLOOKUP(U42,课程清单!A:Q,14,0)),"")</f>
        <v>32</v>
      </c>
      <c r="K42" s="25">
        <f>IFERROR(IF(VLOOKUP(U42,课程清单!A:Q,15,0)="",0,VLOOKUP(U42,课程清单!A:Q,15,0)),"")</f>
        <v>0</v>
      </c>
      <c r="L42" s="26" t="str">
        <f>IFERROR(IF(VLOOKUP(U42,课程清单!A:Q,16,0)=$L$4,VLOOKUP(U42,课程清单!A:Q,17,0),""),"")</f>
        <v/>
      </c>
      <c r="M42" s="11" t="str">
        <f>IFERROR(IF(VLOOKUP(U42,课程清单!A:Q,16,0)=$M$4,VLOOKUP(U42,课程清单!A:Q,17,0),""),"")</f>
        <v/>
      </c>
      <c r="N42" s="11" t="str">
        <f>IFERROR(IF(VLOOKUP(U42,课程清单!A:Q,16,0)=$N$4,VLOOKUP(U42,课程清单!A:Q,17,0),""),"")</f>
        <v/>
      </c>
      <c r="O42" s="11" t="str">
        <f>IFERROR(IF(VLOOKUP(U42,课程清单!A:Q,16,0)=$O$4,VLOOKUP(U42,课程清单!A:Q,17,0),""),"")</f>
        <v/>
      </c>
      <c r="P42" s="11" t="str">
        <f>IFERROR(IF(VLOOKUP(U42,课程清单!A:Q,16,0)=$P$4,VLOOKUP(U42,课程清单!A:Q,17,0),""),"")</f>
        <v/>
      </c>
      <c r="Q42" s="11" t="str">
        <f>IFERROR(IF(VLOOKUP(U42,课程清单!A:Q,16,0)=$Q$4,VLOOKUP(U42,课程清单!A:Q,17,0),""),"")</f>
        <v/>
      </c>
      <c r="R42" s="11" t="str">
        <f>IFERROR(IF(VLOOKUP(U42,课程清单!A:Q,16,0)=$R$4,VLOOKUP(U42,课程清单!A:Q,17,0),""),"")</f>
        <v/>
      </c>
      <c r="S42" s="11" t="str">
        <f>IFERROR(IF(VLOOKUP(U42,课程清单!A:Q,16,0)=$S$4,VLOOKUP(U42,课程清单!A:Q,17,0),""),"")</f>
        <v/>
      </c>
      <c r="T42" s="7">
        <v>1</v>
      </c>
      <c r="U42" s="2" t="str">
        <f>"通识教育课程平台_"&amp;$B$42&amp;"_"&amp;T42</f>
        <v>通识教育课程平台_美育类_1</v>
      </c>
      <c r="V42" s="7">
        <f t="shared" ref="V42" si="37">C42</f>
        <v>32</v>
      </c>
      <c r="W42" s="7">
        <f t="shared" ref="W42" si="38">IF(_xlfn.IFNA(MATCH("+*",L42:S42,0),-1)=-1,H42*IF(J42="",0,J42)/I42,0)</f>
        <v>2</v>
      </c>
      <c r="X42" s="7">
        <f t="shared" ref="X42" si="39">IF(_xlfn.IFNA(MATCH("+*",L42:S42,0),-1)=-1,J42,0)</f>
        <v>32</v>
      </c>
      <c r="Y42" s="109">
        <f t="shared" ref="Y42" si="40">IF(_xlfn.IFNA(MATCH("+*",L42:S42,0),-1)=-1,H42*IF(K42="",0,K42)/I42,0)</f>
        <v>0</v>
      </c>
      <c r="Z42" s="109">
        <f t="shared" ref="Z42" si="41">IF(_xlfn.IFNA(MATCH("+*",L42:S42,0),-1)=-1,IF(K42="",0,K42),0)</f>
        <v>0</v>
      </c>
      <c r="AA42" s="109">
        <f t="shared" ref="AA42" si="42">IF(_xlfn.IFNA(MATCH("+*",L42:S42,0),-1)&lt;&gt;-1,H42,0)</f>
        <v>0</v>
      </c>
      <c r="AB42" s="109">
        <f t="shared" ref="AB42" si="43">IF(AA42=0,0,K42)</f>
        <v>0</v>
      </c>
    </row>
    <row r="43" spans="1:28" ht="25" customHeight="1" x14ac:dyDescent="0.3">
      <c r="A43" s="180"/>
      <c r="B43" s="174"/>
      <c r="C43" s="175" t="s">
        <v>332</v>
      </c>
      <c r="D43" s="175"/>
      <c r="E43" s="175"/>
      <c r="F43" s="11"/>
      <c r="G43" s="11"/>
      <c r="H43" s="17">
        <f>SUM(H42)</f>
        <v>2</v>
      </c>
      <c r="I43" s="17">
        <f t="shared" ref="I43:K43" si="44">SUM(I42)</f>
        <v>32</v>
      </c>
      <c r="J43" s="17">
        <f t="shared" si="44"/>
        <v>32</v>
      </c>
      <c r="K43" s="15">
        <f t="shared" si="44"/>
        <v>0</v>
      </c>
      <c r="L43" s="26" t="str">
        <f>IFERROR(IF(VLOOKUP(U43,课程清单!A:Q,16,0)=$L$4,VLOOKUP(U43,课程清单!A:Q,17,0),""),"")</f>
        <v/>
      </c>
      <c r="M43" s="11" t="str">
        <f>IFERROR(IF(VLOOKUP(U43,课程清单!A:Q,16,0)=$M$4,VLOOKUP(U43,课程清单!A:Q,17,0),""),"")</f>
        <v/>
      </c>
      <c r="N43" s="11" t="str">
        <f>IFERROR(IF(VLOOKUP(U43,课程清单!A:Q,16,0)=$N$4,VLOOKUP(U43,课程清单!A:Q,17,0),""),"")</f>
        <v/>
      </c>
      <c r="O43" s="11" t="str">
        <f>IFERROR(IF(VLOOKUP(U43,课程清单!A:Q,16,0)=$O$4,VLOOKUP(U43,课程清单!A:Q,17,0),""),"")</f>
        <v/>
      </c>
      <c r="P43" s="11" t="str">
        <f>IFERROR(IF(VLOOKUP(U43,课程清单!A:Q,16,0)=$P$4,VLOOKUP(U43,课程清单!A:Q,17,0),""),"")</f>
        <v/>
      </c>
      <c r="Q43" s="11" t="str">
        <f>IFERROR(IF(VLOOKUP(U43,课程清单!A:Q,16,0)=$Q$4,VLOOKUP(U43,课程清单!A:Q,17,0),""),"")</f>
        <v/>
      </c>
      <c r="R43" s="11" t="str">
        <f>IFERROR(IF(VLOOKUP(U43,课程清单!A:Q,16,0)=$R$4,VLOOKUP(U43,课程清单!A:Q,17,0),""),"")</f>
        <v/>
      </c>
      <c r="S43" s="11" t="str">
        <f>IFERROR(IF(VLOOKUP(U43,课程清单!A:Q,16,0)=$S$4,VLOOKUP(U43,课程清单!A:Q,17,0),""),"")</f>
        <v/>
      </c>
      <c r="Y43" s="109"/>
      <c r="Z43" s="109"/>
      <c r="AA43" s="109"/>
      <c r="AB43" s="109"/>
    </row>
    <row r="44" spans="1:28" ht="25" customHeight="1" x14ac:dyDescent="0.3">
      <c r="A44" s="180"/>
      <c r="B44" s="167" t="s">
        <v>59</v>
      </c>
      <c r="C44" s="11">
        <v>33</v>
      </c>
      <c r="D44" s="12" t="str">
        <f>IFERROR(IF(VLOOKUP(U44,课程清单!A:Q,7,0)="","",VLOOKUP(U44,课程清单!A:Q,7,0)),"")</f>
        <v>903002Q1</v>
      </c>
      <c r="E44" s="13" t="str">
        <f>IFERROR(VLOOKUP(U44,课程清单!A:Q,8,0)&amp;IF(VLOOKUP(U44,课程清单!A:Q,9,0)="","",CHAR(10)&amp;VLOOKUP(U44,课程清单!A:Q,9,0)),"")</f>
        <v>大学生职业规划
Career Planning</v>
      </c>
      <c r="F44" s="11" t="str">
        <f>IFERROR(IF(VLOOKUP(U44,课程清单!A:Q,10,0)="","",VLOOKUP(U44,课程清单!A:Q,10,0)),"")</f>
        <v>必修</v>
      </c>
      <c r="G44" s="11"/>
      <c r="H44" s="14">
        <f>IFERROR(IF(VLOOKUP(U44,课程清单!A:Q,12,0)="","",VLOOKUP(U44,课程清单!A:Q,12,0)),"")</f>
        <v>0.5</v>
      </c>
      <c r="I44" s="14">
        <f>IFERROR(IF(VLOOKUP(U44,课程清单!A:Q,13,0)="",0,VLOOKUP(U44,课程清单!A:Q,13,0)),"")</f>
        <v>8</v>
      </c>
      <c r="J44" s="14">
        <f>IFERROR(IF(VLOOKUP(U44,课程清单!A:Q,14,0)="",0,VLOOKUP(U44,课程清单!A:Q,14,0)),"")</f>
        <v>8</v>
      </c>
      <c r="K44" s="27">
        <f>IFERROR(IF(VLOOKUP(U44,课程清单!A:Q,15,0)="",0,VLOOKUP(U44,课程清单!A:Q,15,0)),"")</f>
        <v>0</v>
      </c>
      <c r="L44" s="26">
        <f>IFERROR(IF(VLOOKUP(U44,课程清单!A:Q,16,0)=$L$4,VLOOKUP(U44,课程清单!A:Q,17,0),""),"")</f>
        <v>2</v>
      </c>
      <c r="M44" s="11" t="str">
        <f>IFERROR(IF(VLOOKUP(U44,课程清单!A:Q,16,0)=$M$4,VLOOKUP(U44,课程清单!A:Q,17,0),""),"")</f>
        <v/>
      </c>
      <c r="N44" s="11" t="str">
        <f>IFERROR(IF(VLOOKUP(U44,课程清单!A:Q,16,0)=$N$4,VLOOKUP(U44,课程清单!A:Q,17,0),""),"")</f>
        <v/>
      </c>
      <c r="O44" s="11" t="str">
        <f>IFERROR(IF(VLOOKUP(U44,课程清单!A:Q,16,0)=$O$4,VLOOKUP(U44,课程清单!A:Q,17,0),""),"")</f>
        <v/>
      </c>
      <c r="P44" s="11" t="str">
        <f>IFERROR(IF(VLOOKUP(U44,课程清单!A:Q,16,0)=$P$4,VLOOKUP(U44,课程清单!A:Q,17,0),""),"")</f>
        <v/>
      </c>
      <c r="Q44" s="11" t="str">
        <f>IFERROR(IF(VLOOKUP(U44,课程清单!A:Q,16,0)=$Q$4,VLOOKUP(U44,课程清单!A:Q,17,0),""),"")</f>
        <v/>
      </c>
      <c r="R44" s="11" t="str">
        <f>IFERROR(IF(VLOOKUP(U44,课程清单!A:Q,16,0)=$R$4,VLOOKUP(U44,课程清单!A:Q,17,0),""),"")</f>
        <v/>
      </c>
      <c r="S44" s="11" t="str">
        <f>IFERROR(IF(VLOOKUP(U44,课程清单!A:Q,16,0)=$S$4,VLOOKUP(U44,课程清单!A:Q,17,0),""),"")</f>
        <v/>
      </c>
      <c r="T44" s="7">
        <v>1</v>
      </c>
      <c r="U44" s="2" t="str">
        <f>"通识教育课程平台_"&amp;$B$44&amp;"_"&amp;T44</f>
        <v>通识教育课程平台_其他类_1</v>
      </c>
      <c r="V44" s="7">
        <f t="shared" ref="V44:V52" si="45">C44</f>
        <v>33</v>
      </c>
      <c r="W44" s="7">
        <f t="shared" ref="W44:W48" si="46">IF(_xlfn.IFNA(MATCH("+*",L44:S44,0),-1)=-1,H44*IF(J44="",0,J44)/I44,0)</f>
        <v>0.5</v>
      </c>
      <c r="X44" s="7">
        <f t="shared" ref="X44:X48" si="47">IF(_xlfn.IFNA(MATCH("+*",L44:S44,0),-1)=-1,J44,0)</f>
        <v>8</v>
      </c>
      <c r="Y44" s="109">
        <f t="shared" ref="Y44:Y48" si="48">IF(_xlfn.IFNA(MATCH("+*",L44:S44,0),-1)=-1,H44*IF(K44="",0,K44)/I44,0)</f>
        <v>0</v>
      </c>
      <c r="Z44" s="109">
        <f t="shared" ref="Z44:Z48" si="49">IF(_xlfn.IFNA(MATCH("+*",L44:S44,0),-1)=-1,IF(K44="",0,K44),0)</f>
        <v>0</v>
      </c>
      <c r="AA44" s="109">
        <f t="shared" ref="AA44:AA48" si="50">IF(_xlfn.IFNA(MATCH("+*",L44:S44,0),-1)&lt;&gt;-1,H44,0)</f>
        <v>0</v>
      </c>
      <c r="AB44" s="109">
        <f t="shared" ref="AB44:AB48" si="51">IF(AA44=0,0,K44)</f>
        <v>0</v>
      </c>
    </row>
    <row r="45" spans="1:28" ht="25" customHeight="1" x14ac:dyDescent="0.3">
      <c r="A45" s="180"/>
      <c r="B45" s="167"/>
      <c r="C45" s="11">
        <v>34</v>
      </c>
      <c r="D45" s="12" t="str">
        <f>IFERROR(IF(VLOOKUP(U45,课程清单!A:Q,7,0)="","",VLOOKUP(U45,课程清单!A:Q,7,0)),"")</f>
        <v>903002Q2</v>
      </c>
      <c r="E45" s="13" t="str">
        <f>IFERROR(VLOOKUP(U45,课程清单!A:Q,8,0)&amp;IF(VLOOKUP(U45,课程清单!A:Q,9,0)="","",CHAR(10)&amp;VLOOKUP(U45,课程清单!A:Q,9,0)),"")</f>
        <v>大学生就业指导
Employment Guidance</v>
      </c>
      <c r="F45" s="11" t="str">
        <f>IFERROR(IF(VLOOKUP(U45,课程清单!A:Q,10,0)="","",VLOOKUP(U45,课程清单!A:Q,10,0)),"")</f>
        <v>必修</v>
      </c>
      <c r="G45" s="11"/>
      <c r="H45" s="14">
        <f>IFERROR(IF(VLOOKUP(U45,课程清单!A:Q,12,0)="","",VLOOKUP(U45,课程清单!A:Q,12,0)),"")</f>
        <v>0.5</v>
      </c>
      <c r="I45" s="14">
        <f>IFERROR(IF(VLOOKUP(U45,课程清单!A:Q,13,0)="",0,VLOOKUP(U45,课程清单!A:Q,13,0)),"")</f>
        <v>8</v>
      </c>
      <c r="J45" s="14">
        <f>IFERROR(IF(VLOOKUP(U45,课程清单!A:Q,14,0)="",0,VLOOKUP(U45,课程清单!A:Q,14,0)),"")</f>
        <v>8</v>
      </c>
      <c r="K45" s="27">
        <f>IFERROR(IF(VLOOKUP(U45,课程清单!A:Q,15,0)="",0,VLOOKUP(U45,课程清单!A:Q,15,0)),"")</f>
        <v>0</v>
      </c>
      <c r="L45" s="26" t="str">
        <f>IFERROR(IF(VLOOKUP(U45,课程清单!A:Q,16,0)=$L$4,VLOOKUP(U45,课程清单!A:Q,17,0),""),"")</f>
        <v/>
      </c>
      <c r="M45" s="11" t="str">
        <f>IFERROR(IF(VLOOKUP(U45,课程清单!A:Q,16,0)=$M$4,VLOOKUP(U45,课程清单!A:Q,17,0),""),"")</f>
        <v/>
      </c>
      <c r="N45" s="11" t="str">
        <f>IFERROR(IF(VLOOKUP(U45,课程清单!A:Q,16,0)=$N$4,VLOOKUP(U45,课程清单!A:Q,17,0),""),"")</f>
        <v/>
      </c>
      <c r="O45" s="11" t="str">
        <f>IFERROR(IF(VLOOKUP(U45,课程清单!A:Q,16,0)=$O$4,VLOOKUP(U45,课程清单!A:Q,17,0),""),"")</f>
        <v/>
      </c>
      <c r="P45" s="11" t="str">
        <f>IFERROR(IF(VLOOKUP(U45,课程清单!A:Q,16,0)=$P$4,VLOOKUP(U45,课程清单!A:Q,17,0),""),"")</f>
        <v/>
      </c>
      <c r="Q45" s="11">
        <f>IFERROR(IF(VLOOKUP(U45,课程清单!A:Q,16,0)=$Q$4,VLOOKUP(U45,课程清单!A:Q,17,0),""),"")</f>
        <v>2</v>
      </c>
      <c r="R45" s="11" t="str">
        <f>IFERROR(IF(VLOOKUP(U45,课程清单!A:Q,16,0)=$R$4,VLOOKUP(U45,课程清单!A:Q,17,0),""),"")</f>
        <v/>
      </c>
      <c r="S45" s="11" t="str">
        <f>IFERROR(IF(VLOOKUP(U45,课程清单!A:Q,16,0)=$S$4,VLOOKUP(U45,课程清单!A:Q,17,0),""),"")</f>
        <v/>
      </c>
      <c r="T45" s="7">
        <v>2</v>
      </c>
      <c r="U45" s="2" t="str">
        <f t="shared" ref="U45:U46" si="52">"通识教育课程平台_"&amp;$B$44&amp;"_"&amp;T45</f>
        <v>通识教育课程平台_其他类_2</v>
      </c>
      <c r="V45" s="7">
        <f t="shared" si="45"/>
        <v>34</v>
      </c>
      <c r="W45" s="7">
        <f t="shared" si="46"/>
        <v>0.5</v>
      </c>
      <c r="X45" s="7">
        <f t="shared" si="47"/>
        <v>8</v>
      </c>
      <c r="Y45" s="109">
        <f t="shared" si="48"/>
        <v>0</v>
      </c>
      <c r="Z45" s="109">
        <f t="shared" si="49"/>
        <v>0</v>
      </c>
      <c r="AA45" s="109">
        <f t="shared" si="50"/>
        <v>0</v>
      </c>
      <c r="AB45" s="109">
        <f t="shared" si="51"/>
        <v>0</v>
      </c>
    </row>
    <row r="46" spans="1:28" ht="25" customHeight="1" x14ac:dyDescent="0.3">
      <c r="A46" s="180"/>
      <c r="B46" s="167"/>
      <c r="C46" s="11">
        <v>35</v>
      </c>
      <c r="D46" s="12" t="str">
        <f>IFERROR(IF(VLOOKUP(U46,课程清单!A:Q,7,0)="","",VLOOKUP(U46,课程清单!A:Q,7,0)),"")</f>
        <v>902004P1</v>
      </c>
      <c r="E46" s="13" t="str">
        <f>IFERROR(VLOOKUP(U46,课程清单!A:Q,8,0)&amp;IF(VLOOKUP(U46,课程清单!A:Q,9,0)="","",CHAR(10)&amp;VLOOKUP(U46,课程清单!A:Q,9,0)),"")</f>
        <v>大学生心理与保健
Mental Health Consultation</v>
      </c>
      <c r="F46" s="11" t="str">
        <f>IFERROR(IF(VLOOKUP(U46,课程清单!A:Q,10,0)="","",VLOOKUP(U46,课程清单!A:Q,10,0)),"")</f>
        <v>必修</v>
      </c>
      <c r="G46" s="11"/>
      <c r="H46" s="14">
        <f>IFERROR(IF(VLOOKUP(U46,课程清单!A:Q,12,0)="","",VLOOKUP(U46,课程清单!A:Q,12,0)),"")</f>
        <v>2</v>
      </c>
      <c r="I46" s="14">
        <f>IFERROR(IF(VLOOKUP(U46,课程清单!A:Q,13,0)="",0,VLOOKUP(U46,课程清单!A:Q,13,0)),"")</f>
        <v>32</v>
      </c>
      <c r="J46" s="14">
        <f>IFERROR(IF(VLOOKUP(U46,课程清单!A:Q,14,0)="",0,VLOOKUP(U46,课程清单!A:Q,14,0)),"")</f>
        <v>32</v>
      </c>
      <c r="K46" s="27">
        <f>IFERROR(IF(VLOOKUP(U46,课程清单!A:Q,15,0)="",0,VLOOKUP(U46,课程清单!A:Q,15,0)),"")</f>
        <v>0</v>
      </c>
      <c r="L46" s="26">
        <f>IFERROR(IF(VLOOKUP(U46,课程清单!A:Q,16,0)=$L$4,VLOOKUP(U46,课程清单!A:Q,17,0),""),"")</f>
        <v>2</v>
      </c>
      <c r="M46" s="11" t="str">
        <f>IFERROR(IF(VLOOKUP(U46,课程清单!A:Q,16,0)=$M$4,VLOOKUP(U46,课程清单!A:Q,17,0),""),"")</f>
        <v/>
      </c>
      <c r="N46" s="11" t="str">
        <f>IFERROR(IF(VLOOKUP(U46,课程清单!A:Q,16,0)=$N$4,VLOOKUP(U46,课程清单!A:Q,17,0),""),"")</f>
        <v/>
      </c>
      <c r="O46" s="11" t="str">
        <f>IFERROR(IF(VLOOKUP(U46,课程清单!A:Q,16,0)=$O$4,VLOOKUP(U46,课程清单!A:Q,17,0),""),"")</f>
        <v/>
      </c>
      <c r="P46" s="11" t="str">
        <f>IFERROR(IF(VLOOKUP(U46,课程清单!A:Q,16,0)=$P$4,VLOOKUP(U46,课程清单!A:Q,17,0),""),"")</f>
        <v/>
      </c>
      <c r="Q46" s="11" t="str">
        <f>IFERROR(IF(VLOOKUP(U46,课程清单!A:Q,16,0)=$Q$4,VLOOKUP(U46,课程清单!A:Q,17,0),""),"")</f>
        <v/>
      </c>
      <c r="R46" s="11" t="str">
        <f>IFERROR(IF(VLOOKUP(U46,课程清单!A:Q,16,0)=$R$4,VLOOKUP(U46,课程清单!A:Q,17,0),""),"")</f>
        <v/>
      </c>
      <c r="S46" s="11" t="str">
        <f>IFERROR(IF(VLOOKUP(U46,课程清单!A:Q,16,0)=$S$4,VLOOKUP(U46,课程清单!A:Q,17,0),""),"")</f>
        <v/>
      </c>
      <c r="T46" s="7">
        <v>3</v>
      </c>
      <c r="U46" s="2" t="str">
        <f t="shared" si="52"/>
        <v>通识教育课程平台_其他类_3</v>
      </c>
      <c r="V46" s="7">
        <f t="shared" si="45"/>
        <v>35</v>
      </c>
      <c r="W46" s="7">
        <f t="shared" si="46"/>
        <v>2</v>
      </c>
      <c r="X46" s="7">
        <f t="shared" si="47"/>
        <v>32</v>
      </c>
      <c r="Y46" s="109">
        <f t="shared" si="48"/>
        <v>0</v>
      </c>
      <c r="Z46" s="109">
        <f t="shared" si="49"/>
        <v>0</v>
      </c>
      <c r="AA46" s="109">
        <f t="shared" si="50"/>
        <v>0</v>
      </c>
      <c r="AB46" s="109">
        <f t="shared" si="51"/>
        <v>0</v>
      </c>
    </row>
    <row r="47" spans="1:28" ht="25" customHeight="1" x14ac:dyDescent="0.3">
      <c r="A47" s="180"/>
      <c r="B47" s="167"/>
      <c r="C47" s="175" t="s">
        <v>333</v>
      </c>
      <c r="D47" s="175"/>
      <c r="E47" s="175"/>
      <c r="F47" s="11"/>
      <c r="G47" s="11"/>
      <c r="H47" s="17">
        <f>SUM(H44:H46)</f>
        <v>3</v>
      </c>
      <c r="I47" s="17">
        <f t="shared" ref="I47:K47" si="53">SUM(I44:I46)</f>
        <v>48</v>
      </c>
      <c r="J47" s="17">
        <f t="shared" si="53"/>
        <v>48</v>
      </c>
      <c r="K47" s="15">
        <f t="shared" si="53"/>
        <v>0</v>
      </c>
      <c r="L47" s="26" t="str">
        <f>IFERROR(IF(VLOOKUP(U47,课程清单!A:Q,16,0)=$L$4,VLOOKUP(U47,课程清单!A:Q,17,0),""),"")</f>
        <v/>
      </c>
      <c r="M47" s="11" t="str">
        <f>IFERROR(IF(VLOOKUP(U47,课程清单!A:Q,16,0)=$M$4,VLOOKUP(U47,课程清单!A:Q,17,0),""),"")</f>
        <v/>
      </c>
      <c r="N47" s="11" t="str">
        <f>IFERROR(IF(VLOOKUP(U47,课程清单!A:Q,16,0)=$N$4,VLOOKUP(U47,课程清单!A:Q,17,0),""),"")</f>
        <v/>
      </c>
      <c r="O47" s="11" t="str">
        <f>IFERROR(IF(VLOOKUP(U47,课程清单!A:Q,16,0)=$O$4,VLOOKUP(U47,课程清单!A:Q,17,0),""),"")</f>
        <v/>
      </c>
      <c r="P47" s="11" t="str">
        <f>IFERROR(IF(VLOOKUP(U47,课程清单!A:Q,16,0)=$P$4,VLOOKUP(U47,课程清单!A:Q,17,0),""),"")</f>
        <v/>
      </c>
      <c r="Q47" s="11" t="str">
        <f>IFERROR(IF(VLOOKUP(U47,课程清单!A:Q,16,0)=$Q$4,VLOOKUP(U47,课程清单!A:Q,17,0),""),"")</f>
        <v/>
      </c>
      <c r="R47" s="11" t="str">
        <f>IFERROR(IF(VLOOKUP(U47,课程清单!A:Q,16,0)=$R$4,VLOOKUP(U47,课程清单!A:Q,17,0),""),"")</f>
        <v/>
      </c>
      <c r="S47" s="11" t="str">
        <f>IFERROR(IF(VLOOKUP(U47,课程清单!A:Q,16,0)=$S$4,VLOOKUP(U47,课程清单!A:Q,17,0),""),"")</f>
        <v/>
      </c>
      <c r="Y47" s="109"/>
      <c r="Z47" s="109"/>
      <c r="AA47" s="109"/>
      <c r="AB47" s="109"/>
    </row>
    <row r="48" spans="1:28" ht="30" customHeight="1" x14ac:dyDescent="0.3">
      <c r="A48" s="180"/>
      <c r="B48" s="167" t="s">
        <v>60</v>
      </c>
      <c r="C48" s="11">
        <v>36</v>
      </c>
      <c r="D48" s="12" t="str">
        <f>IFERROR(IF(VLOOKUP(U48,课程清单!A:Q,7,0)="","",VLOOKUP(U48,课程清单!A:Q,7,0)),"")</f>
        <v>903008P1</v>
      </c>
      <c r="E48" s="13" t="str">
        <f>IFERROR(VLOOKUP(U48,课程清单!A:Q,8,0)&amp;IF(VLOOKUP(U48,课程清单!A:Q,9,0)="","",CHAR(10)&amp;VLOOKUP(U48,课程清单!A:Q,9,0)),"")</f>
        <v>素质拓展</v>
      </c>
      <c r="F48" s="11" t="str">
        <f>IFERROR(IF(VLOOKUP(U48,课程清单!A:Q,10,0)="","",VLOOKUP(U48,课程清单!A:Q,10,0)),"")</f>
        <v>必修</v>
      </c>
      <c r="G48" s="11"/>
      <c r="H48" s="14">
        <f>IFERROR(IF(VLOOKUP(U48,课程清单!A:Q,12,0)="","",VLOOKUP(U48,课程清单!A:Q,12,0)),"")</f>
        <v>1</v>
      </c>
      <c r="I48" s="14">
        <f>IFERROR(IF(VLOOKUP(U48,课程清单!A:Q,13,0)="",0,VLOOKUP(U48,课程清单!A:Q,13,0)),"")</f>
        <v>32</v>
      </c>
      <c r="J48" s="14">
        <f>IFERROR(IF(VLOOKUP(U48,课程清单!A:Q,14,0)="",0,VLOOKUP(U48,课程清单!A:Q,14,0)),"")</f>
        <v>0</v>
      </c>
      <c r="K48" s="27">
        <f>IFERROR(IF(VLOOKUP(U48,课程清单!A:Q,15,0)="",0,VLOOKUP(U48,课程清单!A:Q,15,0)),"")</f>
        <v>32</v>
      </c>
      <c r="L48" s="26" t="str">
        <f>IFERROR(IF(VLOOKUP(U48,课程清单!A:Q,16,0)=$L$4,VLOOKUP(U48,课程清单!A:Q,17,0),""),"")</f>
        <v/>
      </c>
      <c r="M48" s="11" t="str">
        <f>IFERROR(IF(VLOOKUP(U48,课程清单!A:Q,16,0)=$M$4,VLOOKUP(U48,课程清单!A:Q,17,0),""),"")</f>
        <v/>
      </c>
      <c r="N48" s="11" t="str">
        <f>IFERROR(IF(VLOOKUP(U48,课程清单!A:Q,16,0)=$N$4,VLOOKUP(U48,课程清单!A:Q,17,0),""),"")</f>
        <v/>
      </c>
      <c r="O48" s="11" t="str">
        <f>IFERROR(IF(VLOOKUP(U48,课程清单!A:Q,16,0)=$O$4,VLOOKUP(U48,课程清单!A:Q,17,0),""),"")</f>
        <v/>
      </c>
      <c r="P48" s="11" t="str">
        <f>IFERROR(IF(VLOOKUP(U48,课程清单!A:Q,16,0)=$P$4,VLOOKUP(U48,课程清单!A:Q,17,0),""),"")</f>
        <v/>
      </c>
      <c r="Q48" s="11" t="str">
        <f>IFERROR(IF(VLOOKUP(U48,课程清单!A:Q,16,0)=$Q$4,VLOOKUP(U48,课程清单!A:Q,17,0),""),"")</f>
        <v/>
      </c>
      <c r="R48" s="11" t="str">
        <f>IFERROR(IF(VLOOKUP(U48,课程清单!A:Q,16,0)=$R$4,VLOOKUP(U48,课程清单!A:Q,17,0),""),"")</f>
        <v/>
      </c>
      <c r="S48" s="11" t="str">
        <f>IFERROR(IF(VLOOKUP(U48,课程清单!A:Q,16,0)=$S$4,VLOOKUP(U48,课程清单!A:Q,17,0),""),"")</f>
        <v/>
      </c>
      <c r="T48" s="7">
        <v>1</v>
      </c>
      <c r="U48" s="2" t="str">
        <f>"通识教育课程平台_"&amp;$B$48&amp;"_"&amp;T48</f>
        <v>通识教育课程平台_素质拓展类_1</v>
      </c>
      <c r="V48" s="7">
        <f t="shared" si="45"/>
        <v>36</v>
      </c>
      <c r="W48" s="7">
        <f t="shared" si="46"/>
        <v>0</v>
      </c>
      <c r="X48" s="7">
        <f t="shared" si="47"/>
        <v>0</v>
      </c>
      <c r="Y48" s="109">
        <f t="shared" si="48"/>
        <v>1</v>
      </c>
      <c r="Z48" s="109">
        <f t="shared" si="49"/>
        <v>32</v>
      </c>
      <c r="AA48" s="109">
        <f t="shared" si="50"/>
        <v>0</v>
      </c>
      <c r="AB48" s="109">
        <f t="shared" si="51"/>
        <v>0</v>
      </c>
    </row>
    <row r="49" spans="1:28" ht="30.75" customHeight="1" x14ac:dyDescent="0.3">
      <c r="A49" s="180"/>
      <c r="B49" s="167"/>
      <c r="C49" s="175" t="s">
        <v>334</v>
      </c>
      <c r="D49" s="175"/>
      <c r="E49" s="175"/>
      <c r="F49" s="11"/>
      <c r="G49" s="11"/>
      <c r="H49" s="17">
        <f>SUM(H48)</f>
        <v>1</v>
      </c>
      <c r="I49" s="17">
        <f t="shared" ref="I49:K49" si="54">SUM(I48)</f>
        <v>32</v>
      </c>
      <c r="J49" s="17">
        <f t="shared" si="54"/>
        <v>0</v>
      </c>
      <c r="K49" s="15">
        <f t="shared" si="54"/>
        <v>32</v>
      </c>
      <c r="L49" s="26" t="str">
        <f>IFERROR(IF(VLOOKUP(U49,课程清单!A:Q,16,0)=$L$4,VLOOKUP(U49,课程清单!A:Q,17,0),""),"")</f>
        <v/>
      </c>
      <c r="M49" s="11" t="str">
        <f>IFERROR(IF(VLOOKUP(U49,课程清单!A:Q,16,0)=$M$4,VLOOKUP(U49,课程清单!A:Q,17,0),""),"")</f>
        <v/>
      </c>
      <c r="N49" s="11" t="str">
        <f>IFERROR(IF(VLOOKUP(U49,课程清单!A:Q,16,0)=$N$4,VLOOKUP(U49,课程清单!A:Q,17,0),""),"")</f>
        <v/>
      </c>
      <c r="O49" s="11" t="str">
        <f>IFERROR(IF(VLOOKUP(U49,课程清单!A:Q,16,0)=$O$4,VLOOKUP(U49,课程清单!A:Q,17,0),""),"")</f>
        <v/>
      </c>
      <c r="P49" s="11" t="str">
        <f>IFERROR(IF(VLOOKUP(U49,课程清单!A:Q,16,0)=$P$4,VLOOKUP(U49,课程清单!A:Q,17,0),""),"")</f>
        <v/>
      </c>
      <c r="Q49" s="11" t="str">
        <f>IFERROR(IF(VLOOKUP(U49,课程清单!A:Q,16,0)=$Q$4,VLOOKUP(U49,课程清单!A:Q,17,0),""),"")</f>
        <v/>
      </c>
      <c r="R49" s="11" t="str">
        <f>IFERROR(IF(VLOOKUP(U49,课程清单!A:Q,16,0)=$R$4,VLOOKUP(U49,课程清单!A:Q,17,0),""),"")</f>
        <v/>
      </c>
      <c r="S49" s="11" t="str">
        <f>IFERROR(IF(VLOOKUP(U49,课程清单!A:Q,16,0)=$S$4,VLOOKUP(U49,课程清单!A:Q,17,0),""),"")</f>
        <v/>
      </c>
      <c r="Y49" s="109"/>
      <c r="Z49" s="109"/>
      <c r="AA49" s="109"/>
      <c r="AB49" s="109"/>
    </row>
    <row r="50" spans="1:28" ht="25" customHeight="1" x14ac:dyDescent="0.3">
      <c r="A50" s="180"/>
      <c r="B50" s="167" t="s">
        <v>61</v>
      </c>
      <c r="C50" s="11">
        <v>37</v>
      </c>
      <c r="D50" s="185" t="s">
        <v>335</v>
      </c>
      <c r="E50" s="13" t="str">
        <f>IFERROR(VLOOKUP(U50,课程清单!A:Q,8,0)&amp;IF(VLOOKUP(U50,课程清单!A:Q,9,0)="","",CHAR(10)&amp;VLOOKUP(U50,课程清单!A:Q,9,0)),"")</f>
        <v>人文素养类
Humanities</v>
      </c>
      <c r="F50" s="11" t="str">
        <f>IFERROR(IF(VLOOKUP(U50,课程清单!A:Q,10,0)="","",VLOOKUP(U50,课程清单!A:Q,10,0)),"")</f>
        <v>选修</v>
      </c>
      <c r="G50" s="11"/>
      <c r="H50" s="14" t="str">
        <f>IFERROR(IF(VLOOKUP(U50,课程清单!A:Q,12,0)="","",VLOOKUP(U50,课程清单!A:Q,12,0)),"")</f>
        <v/>
      </c>
      <c r="I50" s="14">
        <f>IFERROR(IF(VLOOKUP(U50,课程清单!A:Q,13,0)="",0,VLOOKUP(U50,课程清单!A:Q,13,0)),"")</f>
        <v>0</v>
      </c>
      <c r="J50" s="14">
        <f>IFERROR(IF(VLOOKUP(U50,课程清单!A:Q,14,0)="",0,VLOOKUP(U50,课程清单!A:Q,14,0)),"")</f>
        <v>0</v>
      </c>
      <c r="K50" s="27">
        <f>IFERROR(IF(VLOOKUP(U50,课程清单!A:Q,15,0)="",0,VLOOKUP(U50,课程清单!A:Q,15,0)),"")</f>
        <v>0</v>
      </c>
      <c r="L50" s="26" t="str">
        <f>IFERROR(IF(VLOOKUP(U50,课程清单!A:Q,16,0)=$L$4,VLOOKUP(U50,课程清单!A:Q,17,0),""),"")</f>
        <v/>
      </c>
      <c r="M50" s="11" t="str">
        <f>IFERROR(IF(VLOOKUP(U50,课程清单!A:Q,16,0)=$M$4,VLOOKUP(U50,课程清单!A:Q,17,0),""),"")</f>
        <v/>
      </c>
      <c r="N50" s="11" t="str">
        <f>IFERROR(IF(VLOOKUP(U50,课程清单!A:Q,16,0)=$N$4,VLOOKUP(U50,课程清单!A:Q,17,0),""),"")</f>
        <v/>
      </c>
      <c r="O50" s="11" t="str">
        <f>IFERROR(IF(VLOOKUP(U50,课程清单!A:Q,16,0)=$O$4,VLOOKUP(U50,课程清单!A:Q,17,0),""),"")</f>
        <v/>
      </c>
      <c r="P50" s="11" t="str">
        <f>IFERROR(IF(VLOOKUP(U50,课程清单!A:Q,16,0)=$P$4,VLOOKUP(U50,课程清单!A:Q,17,0),""),"")</f>
        <v/>
      </c>
      <c r="Q50" s="11" t="str">
        <f>IFERROR(IF(VLOOKUP(U50,课程清单!A:Q,16,0)=$Q$4,VLOOKUP(U50,课程清单!A:Q,17,0),""),"")</f>
        <v/>
      </c>
      <c r="R50" s="11" t="str">
        <f>IFERROR(IF(VLOOKUP(U50,课程清单!A:Q,16,0)=$R$4,VLOOKUP(U50,课程清单!A:Q,17,0),""),"")</f>
        <v/>
      </c>
      <c r="S50" s="11" t="str">
        <f>IFERROR(IF(VLOOKUP(U50,课程清单!A:Q,16,0)=$S$4,VLOOKUP(U50,课程清单!A:Q,17,0),""),"")</f>
        <v/>
      </c>
      <c r="T50" s="7">
        <v>1</v>
      </c>
      <c r="U50" s="2" t="str">
        <f>"通识教育课程平台_"&amp;$B$50&amp;"_"&amp;T50</f>
        <v>通识教育课程平台_通识选修课程_1</v>
      </c>
      <c r="V50" s="7">
        <f t="shared" si="45"/>
        <v>37</v>
      </c>
      <c r="Y50" s="109"/>
      <c r="Z50" s="109"/>
      <c r="AA50" s="109"/>
      <c r="AB50" s="109"/>
    </row>
    <row r="51" spans="1:28" ht="25" customHeight="1" x14ac:dyDescent="0.3">
      <c r="A51" s="180"/>
      <c r="B51" s="167"/>
      <c r="C51" s="11">
        <v>38</v>
      </c>
      <c r="D51" s="185"/>
      <c r="E51" s="13" t="str">
        <f>IFERROR(VLOOKUP(U51,课程清单!A:Q,8,0)&amp;IF(VLOOKUP(U51,课程清单!A:Q,9,0)="","",CHAR(10)&amp;VLOOKUP(U51,课程清单!A:Q,9,0)),"")</f>
        <v>社会经济类
Sociology and Economics</v>
      </c>
      <c r="F51" s="11" t="str">
        <f>IFERROR(IF(VLOOKUP(U51,课程清单!A:Q,10,0)="","",VLOOKUP(U51,课程清单!A:Q,10,0)),"")</f>
        <v>选修</v>
      </c>
      <c r="G51" s="11"/>
      <c r="H51" s="14" t="str">
        <f>IFERROR(IF(VLOOKUP(U51,课程清单!A:Q,12,0)="","",VLOOKUP(U51,课程清单!A:Q,12,0)),"")</f>
        <v/>
      </c>
      <c r="I51" s="14">
        <f>IFERROR(IF(VLOOKUP(U51,课程清单!A:Q,13,0)="",0,VLOOKUP(U51,课程清单!A:Q,13,0)),"")</f>
        <v>0</v>
      </c>
      <c r="J51" s="14">
        <f>IFERROR(IF(VLOOKUP(U51,课程清单!A:Q,14,0)="",0,VLOOKUP(U51,课程清单!A:Q,14,0)),"")</f>
        <v>0</v>
      </c>
      <c r="K51" s="27">
        <f>IFERROR(IF(VLOOKUP(U51,课程清单!A:Q,15,0)="",0,VLOOKUP(U51,课程清单!A:Q,15,0)),"")</f>
        <v>0</v>
      </c>
      <c r="L51" s="26" t="str">
        <f>IFERROR(IF(VLOOKUP(U51,课程清单!A:Q,16,0)=$L$4,VLOOKUP(U51,课程清单!A:Q,17,0),""),"")</f>
        <v/>
      </c>
      <c r="M51" s="11" t="str">
        <f>IFERROR(IF(VLOOKUP(U51,课程清单!A:Q,16,0)=$M$4,VLOOKUP(U51,课程清单!A:Q,17,0),""),"")</f>
        <v/>
      </c>
      <c r="N51" s="11" t="str">
        <f>IFERROR(IF(VLOOKUP(U51,课程清单!A:Q,16,0)=$N$4,VLOOKUP(U51,课程清单!A:Q,17,0),""),"")</f>
        <v/>
      </c>
      <c r="O51" s="11" t="str">
        <f>IFERROR(IF(VLOOKUP(U51,课程清单!A:Q,16,0)=$O$4,VLOOKUP(U51,课程清单!A:Q,17,0),""),"")</f>
        <v/>
      </c>
      <c r="P51" s="11" t="str">
        <f>IFERROR(IF(VLOOKUP(U51,课程清单!A:Q,16,0)=$P$4,VLOOKUP(U51,课程清单!A:Q,17,0),""),"")</f>
        <v/>
      </c>
      <c r="Q51" s="11" t="str">
        <f>IFERROR(IF(VLOOKUP(U51,课程清单!A:Q,16,0)=$Q$4,VLOOKUP(U51,课程清单!A:Q,17,0),""),"")</f>
        <v/>
      </c>
      <c r="R51" s="11" t="str">
        <f>IFERROR(IF(VLOOKUP(U51,课程清单!A:Q,16,0)=$R$4,VLOOKUP(U51,课程清单!A:Q,17,0),""),"")</f>
        <v/>
      </c>
      <c r="S51" s="11" t="str">
        <f>IFERROR(IF(VLOOKUP(U51,课程清单!A:Q,16,0)=$S$4,VLOOKUP(U51,课程清单!A:Q,17,0),""),"")</f>
        <v/>
      </c>
      <c r="T51" s="7">
        <v>2</v>
      </c>
      <c r="U51" s="2" t="str">
        <f t="shared" ref="U51:U52" si="55">"通识教育课程平台_"&amp;$B$50&amp;"_"&amp;T51</f>
        <v>通识教育课程平台_通识选修课程_2</v>
      </c>
      <c r="V51" s="7">
        <f t="shared" si="45"/>
        <v>38</v>
      </c>
      <c r="Y51" s="109"/>
      <c r="Z51" s="109"/>
      <c r="AA51" s="109"/>
      <c r="AB51" s="109"/>
    </row>
    <row r="52" spans="1:28" ht="25" customHeight="1" x14ac:dyDescent="0.3">
      <c r="A52" s="180"/>
      <c r="B52" s="167"/>
      <c r="C52" s="11">
        <v>39</v>
      </c>
      <c r="D52" s="185"/>
      <c r="E52" s="13" t="str">
        <f>IFERROR(VLOOKUP(U52,课程清单!A:Q,8,0)&amp;IF(VLOOKUP(U52,课程清单!A:Q,9,0)="","",CHAR(10)&amp;VLOOKUP(U52,课程清单!A:Q,9,0)),"")</f>
        <v>工程技术类
Engineering Technology</v>
      </c>
      <c r="F52" s="11" t="str">
        <f>IFERROR(IF(VLOOKUP(U52,课程清单!A:Q,10,0)="","",VLOOKUP(U52,课程清单!A:Q,10,0)),"")</f>
        <v>选修</v>
      </c>
      <c r="G52" s="11" t="str">
        <f>IFERROR(IF(VLOOKUP(U52,课程清单!A:Q,11,0)="","",VLOOKUP(U52,课程清单!A:Q,11,0)),"")</f>
        <v/>
      </c>
      <c r="H52" s="14" t="str">
        <f>IFERROR(IF(VLOOKUP(U52,课程清单!A:Q,12,0)="","",VLOOKUP(U52,课程清单!A:Q,12,0)),"")</f>
        <v/>
      </c>
      <c r="I52" s="14">
        <f>IFERROR(IF(VLOOKUP(U52,课程清单!A:Q,13,0)="",0,VLOOKUP(U52,课程清单!A:Q,13,0)),"")</f>
        <v>0</v>
      </c>
      <c r="J52" s="14">
        <f>IFERROR(IF(VLOOKUP(U52,课程清单!A:Q,14,0)="",0,VLOOKUP(U52,课程清单!A:Q,14,0)),"")</f>
        <v>0</v>
      </c>
      <c r="K52" s="27">
        <f>IFERROR(IF(VLOOKUP(U52,课程清单!A:Q,15,0)="",0,VLOOKUP(U52,课程清单!A:Q,15,0)),"")</f>
        <v>0</v>
      </c>
      <c r="L52" s="26" t="str">
        <f>IFERROR(IF(VLOOKUP(U52,课程清单!A:Q,16,0)=$L$4,VLOOKUP(U52,课程清单!A:Q,17,0),""),"")</f>
        <v/>
      </c>
      <c r="M52" s="11" t="str">
        <f>IFERROR(IF(VLOOKUP(U52,课程清单!A:Q,16,0)=$M$4,VLOOKUP(U52,课程清单!A:Q,17,0),""),"")</f>
        <v/>
      </c>
      <c r="N52" s="11" t="str">
        <f>IFERROR(IF(VLOOKUP(U52,课程清单!A:Q,16,0)=$N$4,VLOOKUP(U52,课程清单!A:Q,17,0),""),"")</f>
        <v/>
      </c>
      <c r="O52" s="11" t="str">
        <f>IFERROR(IF(VLOOKUP(U52,课程清单!A:Q,16,0)=$O$4,VLOOKUP(U52,课程清单!A:Q,17,0),""),"")</f>
        <v/>
      </c>
      <c r="P52" s="11" t="str">
        <f>IFERROR(IF(VLOOKUP(U52,课程清单!A:Q,16,0)=$P$4,VLOOKUP(U52,课程清单!A:Q,17,0),""),"")</f>
        <v/>
      </c>
      <c r="Q52" s="11" t="str">
        <f>IFERROR(IF(VLOOKUP(U52,课程清单!A:Q,16,0)=$Q$4,VLOOKUP(U52,课程清单!A:Q,17,0),""),"")</f>
        <v/>
      </c>
      <c r="R52" s="11" t="str">
        <f>IFERROR(IF(VLOOKUP(U52,课程清单!A:Q,16,0)=$R$4,VLOOKUP(U52,课程清单!A:Q,17,0),""),"")</f>
        <v/>
      </c>
      <c r="S52" s="11" t="str">
        <f>IFERROR(IF(VLOOKUP(U52,课程清单!A:Q,16,0)=$S$4,VLOOKUP(U52,课程清单!A:Q,17,0),""),"")</f>
        <v/>
      </c>
      <c r="T52" s="7">
        <v>3</v>
      </c>
      <c r="U52" s="2" t="str">
        <f t="shared" si="55"/>
        <v>通识教育课程平台_通识选修课程_3</v>
      </c>
      <c r="V52" s="7">
        <f t="shared" si="45"/>
        <v>39</v>
      </c>
      <c r="Y52" s="109"/>
      <c r="Z52" s="109"/>
      <c r="AA52" s="109"/>
      <c r="AB52" s="109"/>
    </row>
    <row r="53" spans="1:28" ht="25" customHeight="1" x14ac:dyDescent="0.3">
      <c r="A53" s="180"/>
      <c r="B53" s="167"/>
      <c r="C53" s="175" t="s">
        <v>336</v>
      </c>
      <c r="D53" s="182"/>
      <c r="E53" s="182"/>
      <c r="F53" s="11"/>
      <c r="G53" s="11"/>
      <c r="H53" s="22">
        <v>8</v>
      </c>
      <c r="I53" s="18">
        <v>128</v>
      </c>
      <c r="J53" s="18">
        <v>128</v>
      </c>
      <c r="K53" s="21"/>
      <c r="L53" s="26" t="str">
        <f>IFERROR(IF(VLOOKUP(U53,课程清单!A:Q,16,0)=$L$4,VLOOKUP(U53,课程清单!A:Q,17,0),""),"")</f>
        <v/>
      </c>
      <c r="M53" s="11" t="str">
        <f>IFERROR(IF(VLOOKUP(U53,课程清单!A:Q,16,0)=$M$4,VLOOKUP(U53,课程清单!A:Q,17,0),""),"")</f>
        <v/>
      </c>
      <c r="N53" s="11" t="str">
        <f>IFERROR(IF(VLOOKUP(U53,课程清单!A:Q,16,0)=$N$4,VLOOKUP(U53,课程清单!A:Q,17,0),""),"")</f>
        <v/>
      </c>
      <c r="O53" s="11" t="str">
        <f>IFERROR(IF(VLOOKUP(U53,课程清单!A:Q,16,0)=$O$4,VLOOKUP(U53,课程清单!A:Q,17,0),""),"")</f>
        <v/>
      </c>
      <c r="P53" s="11" t="str">
        <f>IFERROR(IF(VLOOKUP(U53,课程清单!A:Q,16,0)=$P$4,VLOOKUP(U53,课程清单!A:Q,17,0),""),"")</f>
        <v/>
      </c>
      <c r="Q53" s="11" t="str">
        <f>IFERROR(IF(VLOOKUP(U53,课程清单!A:Q,16,0)=$Q$4,VLOOKUP(U53,课程清单!A:Q,17,0),""),"")</f>
        <v/>
      </c>
      <c r="R53" s="11" t="str">
        <f>IFERROR(IF(VLOOKUP(U53,课程清单!A:Q,16,0)=$R$4,VLOOKUP(U53,课程清单!A:Q,17,0),""),"")</f>
        <v/>
      </c>
      <c r="S53" s="11" t="str">
        <f>IFERROR(IF(VLOOKUP(U53,课程清单!A:Q,16,0)=$S$4,VLOOKUP(U53,课程清单!A:Q,17,0),""),"")</f>
        <v/>
      </c>
      <c r="W53" s="7">
        <f>H53</f>
        <v>8</v>
      </c>
      <c r="X53" s="7">
        <f>I53</f>
        <v>128</v>
      </c>
      <c r="Y53" s="109"/>
      <c r="Z53" s="109"/>
      <c r="AA53" s="109"/>
      <c r="AB53" s="109"/>
    </row>
    <row r="54" spans="1:28" ht="25" customHeight="1" x14ac:dyDescent="0.3">
      <c r="A54" s="180"/>
      <c r="B54" s="183" t="s">
        <v>337</v>
      </c>
      <c r="C54" s="184"/>
      <c r="D54" s="184"/>
      <c r="E54" s="184"/>
      <c r="F54" s="103"/>
      <c r="G54" s="103"/>
      <c r="H54" s="104">
        <f>H20+H26+H33+H35+H38+H41+H43+H47+H49+H53</f>
        <v>54</v>
      </c>
      <c r="I54" s="104">
        <f t="shared" ref="I54:K54" si="56">I20+I26+I33+I35+I38+I41+I43+I47+I49+I53</f>
        <v>1008</v>
      </c>
      <c r="J54" s="104">
        <f t="shared" si="56"/>
        <v>800</v>
      </c>
      <c r="K54" s="105">
        <f t="shared" si="56"/>
        <v>208</v>
      </c>
      <c r="L54" s="106">
        <f>SUMIFS(L5:L52,F5:F52,"必修")</f>
        <v>18</v>
      </c>
      <c r="M54" s="104">
        <f>SUMIFS(M5:M52,F5:F52,"必修")</f>
        <v>11</v>
      </c>
      <c r="N54" s="104">
        <f>SUMIFS(N5:N52,F5:F52,"必修")</f>
        <v>9</v>
      </c>
      <c r="O54" s="104">
        <f>SUMIFS(O5:O52,F5:F52,"必修")</f>
        <v>8</v>
      </c>
      <c r="P54" s="104">
        <f>SUMIFS(P5:P52,F5:F52,"必修")</f>
        <v>2</v>
      </c>
      <c r="Q54" s="104">
        <f>SUMIFS(Q5:Q52,F5:F52,"必修")</f>
        <v>4</v>
      </c>
      <c r="R54" s="104">
        <f>SUMIFS(R5:R52,F5:F52,"必修")</f>
        <v>2</v>
      </c>
      <c r="S54" s="104">
        <f>SUMIFS(S5:S52,F5:F52,"必修")</f>
        <v>2</v>
      </c>
      <c r="Y54" s="109"/>
      <c r="Z54" s="109"/>
      <c r="AA54" s="109"/>
      <c r="AB54" s="109"/>
    </row>
    <row r="55" spans="1:28" ht="24" x14ac:dyDescent="0.3">
      <c r="A55" s="188" t="s">
        <v>43</v>
      </c>
      <c r="B55" s="188" t="s">
        <v>42</v>
      </c>
      <c r="C55" s="11">
        <f>IF(E55="","",MAX(C$5:C54)+1)</f>
        <v>40</v>
      </c>
      <c r="D55" s="23" t="str">
        <f>IFERROR(IF(VLOOKUP(U55,课程清单!A:Q,7,0)="","",VLOOKUP(U55,课程清单!A:Q,7,0)),"")</f>
        <v>533089A1</v>
      </c>
      <c r="E55" s="12" t="str">
        <f>IFERROR(VLOOKUP(U55,课程清单!A:Q,8,0)&amp;IF(VLOOKUP(U55,课程清单!A:Q,9,0)="","",CHAR(10)&amp;VLOOKUP(U55,课程清单!A:Q,9,0)),"")</f>
        <v>高等数学A（1）
Advanced Mathematics A(1)</v>
      </c>
      <c r="F55" s="11" t="str">
        <f>IFERROR(IF(VLOOKUP(U55,课程清单!A:Q,10,0)="","",VLOOKUP(U55,课程清单!A:Q,10,0)),"")</f>
        <v>必修</v>
      </c>
      <c r="G55" s="11" t="str">
        <f>IFERROR(IF(VLOOKUP(U55,课程清单!A:Q,11,0)="","",VLOOKUP(U55,课程清单!A:Q,11,0)),"")</f>
        <v>考试</v>
      </c>
      <c r="H55" s="11">
        <f>IFERROR(IF(VLOOKUP(U55,课程清单!A:Q,12,0)="","",VLOOKUP(U55,课程清单!A:Q,12,0)),"")</f>
        <v>5</v>
      </c>
      <c r="I55" s="11">
        <f>IFERROR(IF(VLOOKUP(U55,课程清单!A:Q,13,0)="","",VLOOKUP(U55,课程清单!A:Q,13,0)),"")</f>
        <v>80</v>
      </c>
      <c r="J55" s="11">
        <f>IFERROR(IF(VLOOKUP(U55,课程清单!A:Q,14,0)="","",VLOOKUP(U55,课程清单!A:Q,14,0)),"")</f>
        <v>80</v>
      </c>
      <c r="K55" s="28">
        <f>IFERROR(IF(VLOOKUP(U55,课程清单!A:Q,15,0)="","",VLOOKUP(U55,课程清单!A:Q,15,0)),"")</f>
        <v>0</v>
      </c>
      <c r="L55" s="26">
        <f>IFERROR(IF(VLOOKUP(U55,课程清单!A:Q,16,0)=$L$4,VLOOKUP(U55,课程清单!A:Q,17,0),""),"")</f>
        <v>5</v>
      </c>
      <c r="M55" s="11" t="str">
        <f>IFERROR(IF(VLOOKUP(U55,课程清单!A:Q,16,0)=$M$4,VLOOKUP(U55,课程清单!A:Q,17,0),""),"")</f>
        <v/>
      </c>
      <c r="N55" s="11" t="str">
        <f>IFERROR(IF(VLOOKUP(U55,课程清单!A:Q,16,0)=$N$4,VLOOKUP(U55,课程清单!A:Q,17,0),""),"")</f>
        <v/>
      </c>
      <c r="O55" s="11" t="str">
        <f>IFERROR(IF(VLOOKUP(U55,课程清单!A:Q,16,0)=$O$4,VLOOKUP(U55,课程清单!A:Q,17,0),""),"")</f>
        <v/>
      </c>
      <c r="P55" s="11" t="str">
        <f>IFERROR(IF(VLOOKUP(U55,课程清单!A:Q,16,0)=$P$4,VLOOKUP(U55,课程清单!A:Q,17,0),""),"")</f>
        <v/>
      </c>
      <c r="Q55" s="11" t="str">
        <f>IFERROR(IF(VLOOKUP(U55,课程清单!A:Q,16,0)=$Q$4,VLOOKUP(U55,课程清单!A:Q,17,0),""),"")</f>
        <v/>
      </c>
      <c r="R55" s="11" t="str">
        <f>IFERROR(IF(VLOOKUP(U55,课程清单!A:Q,16,0)=$R$4,VLOOKUP(U55,课程清单!A:Q,17,0),""),"")</f>
        <v/>
      </c>
      <c r="S55" s="11" t="str">
        <f>IFERROR(IF(VLOOKUP(U55,课程清单!A:Q,16,0)=$S$4,VLOOKUP(U55,课程清单!A:Q,17,0),""),"")</f>
        <v/>
      </c>
      <c r="T55" s="7">
        <v>1</v>
      </c>
      <c r="U55" s="2" t="s">
        <v>338</v>
      </c>
      <c r="V55" s="7">
        <f t="shared" ref="V55:V73" si="57">C55</f>
        <v>40</v>
      </c>
      <c r="W55" s="7">
        <f t="shared" ref="W55:W73" si="58">IF(_xlfn.IFNA(MATCH("+*",L55:S55,0),-1)=-1,H55*IF(J55="",0,J55)/I55,0)</f>
        <v>5</v>
      </c>
      <c r="X55" s="7">
        <f t="shared" ref="X55:X73" si="59">IF(_xlfn.IFNA(MATCH("+*",L55:S55,0),-1)=-1,J55,0)</f>
        <v>80</v>
      </c>
      <c r="Y55" s="109">
        <f t="shared" ref="Y55:Y73" si="60">IF(_xlfn.IFNA(MATCH("+*",L55:S55,0),-1)=-1,H55*IF(K55="",0,K55)/I55,0)</f>
        <v>0</v>
      </c>
      <c r="Z55" s="109">
        <f t="shared" ref="Z55:Z73" si="61">IF(_xlfn.IFNA(MATCH("+*",L55:S55,0),-1)=-1,IF(K55="",0,K55),0)</f>
        <v>0</v>
      </c>
      <c r="AA55" s="109">
        <f t="shared" ref="AA55:AA73" si="62">IF(_xlfn.IFNA(MATCH("+*",L55:S55,0),-1)&lt;&gt;-1,H55,0)</f>
        <v>0</v>
      </c>
      <c r="AB55" s="109">
        <f t="shared" ref="AB55:AB73" si="63">IF(AA55=0,0,K55)</f>
        <v>0</v>
      </c>
    </row>
    <row r="56" spans="1:28" ht="24" x14ac:dyDescent="0.3">
      <c r="A56" s="188"/>
      <c r="B56" s="188"/>
      <c r="C56" s="11">
        <f>IF(E56="","",MAX(C$5:C55)+1)</f>
        <v>41</v>
      </c>
      <c r="D56" s="23" t="str">
        <f>IFERROR(IF(VLOOKUP(U56,课程清单!A:Q,7,0)="","",VLOOKUP(U56,课程清单!A:Q,7,0)),"")</f>
        <v>533089A2</v>
      </c>
      <c r="E56" s="12" t="str">
        <f>IFERROR(VLOOKUP(U56,课程清单!A:Q,8,0)&amp;IF(VLOOKUP(U56,课程清单!A:Q,9,0)="","",CHAR(10)&amp;VLOOKUP(U56,课程清单!A:Q,9,0)),"")</f>
        <v>高等数学A（2）
Advanced Mathematics A(2)</v>
      </c>
      <c r="F56" s="11" t="str">
        <f>IFERROR(IF(VLOOKUP(U56,课程清单!A:Q,10,0)="","",VLOOKUP(U56,课程清单!A:Q,10,0)),"")</f>
        <v>必修</v>
      </c>
      <c r="G56" s="11" t="str">
        <f>IFERROR(IF(VLOOKUP(U56,课程清单!A:Q,11,0)="","",VLOOKUP(U56,课程清单!A:Q,11,0)),"")</f>
        <v>考试</v>
      </c>
      <c r="H56" s="11">
        <f>IFERROR(IF(VLOOKUP(U56,课程清单!A:Q,12,0)="","",VLOOKUP(U56,课程清单!A:Q,12,0)),"")</f>
        <v>6</v>
      </c>
      <c r="I56" s="11">
        <f>IFERROR(IF(VLOOKUP(U56,课程清单!A:Q,13,0)="","",VLOOKUP(U56,课程清单!A:Q,13,0)),"")</f>
        <v>96</v>
      </c>
      <c r="J56" s="11">
        <f>IFERROR(IF(VLOOKUP(U56,课程清单!A:Q,14,0)="","",VLOOKUP(U56,课程清单!A:Q,14,0)),"")</f>
        <v>96</v>
      </c>
      <c r="K56" s="28">
        <f>IFERROR(IF(VLOOKUP(U56,课程清单!A:Q,15,0)="","",VLOOKUP(U56,课程清单!A:Q,15,0)),"")</f>
        <v>0</v>
      </c>
      <c r="L56" s="26" t="str">
        <f>IFERROR(IF(VLOOKUP(U56,课程清单!A:Q,16,0)=$L$4,VLOOKUP(U56,课程清单!A:Q,17,0),""),"")</f>
        <v/>
      </c>
      <c r="M56" s="11">
        <f>IFERROR(IF(VLOOKUP(U56,课程清单!A:Q,16,0)=$M$4,VLOOKUP(U56,课程清单!A:Q,17,0),""),"")</f>
        <v>6</v>
      </c>
      <c r="N56" s="11" t="str">
        <f>IFERROR(IF(VLOOKUP(U56,课程清单!A:Q,16,0)=$N$4,VLOOKUP(U56,课程清单!A:Q,17,0),""),"")</f>
        <v/>
      </c>
      <c r="O56" s="11" t="str">
        <f>IFERROR(IF(VLOOKUP(U56,课程清单!A:Q,16,0)=$O$4,VLOOKUP(U56,课程清单!A:Q,17,0),""),"")</f>
        <v/>
      </c>
      <c r="P56" s="11" t="str">
        <f>IFERROR(IF(VLOOKUP(U56,课程清单!A:Q,16,0)=$P$4,VLOOKUP(U56,课程清单!A:Q,17,0),""),"")</f>
        <v/>
      </c>
      <c r="Q56" s="11" t="str">
        <f>IFERROR(IF(VLOOKUP(U56,课程清单!A:Q,16,0)=$Q$4,VLOOKUP(U56,课程清单!A:Q,17,0),""),"")</f>
        <v/>
      </c>
      <c r="R56" s="11" t="str">
        <f>IFERROR(IF(VLOOKUP(U56,课程清单!A:Q,16,0)=$R$4,VLOOKUP(U56,课程清单!A:Q,17,0),""),"")</f>
        <v/>
      </c>
      <c r="S56" s="11" t="str">
        <f>IFERROR(IF(VLOOKUP(U56,课程清单!A:Q,16,0)=$S$4,VLOOKUP(U56,课程清单!A:Q,17,0),""),"")</f>
        <v/>
      </c>
      <c r="T56" s="7">
        <v>2</v>
      </c>
      <c r="U56" s="2" t="s">
        <v>339</v>
      </c>
      <c r="V56" s="7">
        <f t="shared" si="57"/>
        <v>41</v>
      </c>
      <c r="W56" s="7">
        <f t="shared" si="58"/>
        <v>6</v>
      </c>
      <c r="X56" s="7">
        <f t="shared" si="59"/>
        <v>96</v>
      </c>
      <c r="Y56" s="109">
        <f t="shared" si="60"/>
        <v>0</v>
      </c>
      <c r="Z56" s="109">
        <f t="shared" si="61"/>
        <v>0</v>
      </c>
      <c r="AA56" s="109">
        <f t="shared" si="62"/>
        <v>0</v>
      </c>
      <c r="AB56" s="109">
        <f t="shared" si="63"/>
        <v>0</v>
      </c>
    </row>
    <row r="57" spans="1:28" ht="24" x14ac:dyDescent="0.3">
      <c r="A57" s="188"/>
      <c r="B57" s="188"/>
      <c r="C57" s="11">
        <f>IF(E57="","",MAX(C$5:C56)+1)</f>
        <v>42</v>
      </c>
      <c r="D57" s="23" t="str">
        <f>IFERROR(IF(VLOOKUP(U57,课程清单!A:Q,7,0)="","",VLOOKUP(U57,课程清单!A:Q,7,0)),"")</f>
        <v>533091B1</v>
      </c>
      <c r="E57" s="12" t="str">
        <f>IFERROR(VLOOKUP(U57,课程清单!A:Q,8,0)&amp;IF(VLOOKUP(U57,课程清单!A:Q,9,0)="","",CHAR(10)&amp;VLOOKUP(U57,课程清单!A:Q,9,0)),"")</f>
        <v>线性代数B
Linear Algebra B</v>
      </c>
      <c r="F57" s="11" t="str">
        <f>IFERROR(IF(VLOOKUP(U57,课程清单!A:Q,10,0)="","",VLOOKUP(U57,课程清单!A:Q,10,0)),"")</f>
        <v>必修</v>
      </c>
      <c r="G57" s="11" t="str">
        <f>IFERROR(IF(VLOOKUP(U57,课程清单!A:Q,11,0)="","",VLOOKUP(U57,课程清单!A:Q,11,0)),"")</f>
        <v>考查</v>
      </c>
      <c r="H57" s="11">
        <f>IFERROR(IF(VLOOKUP(U57,课程清单!A:Q,12,0)="","",VLOOKUP(U57,课程清单!A:Q,12,0)),"")</f>
        <v>2</v>
      </c>
      <c r="I57" s="11">
        <f>IFERROR(IF(VLOOKUP(U57,课程清单!A:Q,13,0)="","",VLOOKUP(U57,课程清单!A:Q,13,0)),"")</f>
        <v>32</v>
      </c>
      <c r="J57" s="11">
        <f>IFERROR(IF(VLOOKUP(U57,课程清单!A:Q,14,0)="","",VLOOKUP(U57,课程清单!A:Q,14,0)),"")</f>
        <v>32</v>
      </c>
      <c r="K57" s="28">
        <f>IFERROR(IF(VLOOKUP(U57,课程清单!A:Q,15,0)="","",VLOOKUP(U57,课程清单!A:Q,15,0)),"")</f>
        <v>0</v>
      </c>
      <c r="L57" s="26" t="str">
        <f>IFERROR(IF(VLOOKUP(U57,课程清单!A:Q,16,0)=$L$4,VLOOKUP(U57,课程清单!A:Q,17,0),""),"")</f>
        <v/>
      </c>
      <c r="M57" s="11" t="str">
        <f>IFERROR(IF(VLOOKUP(U57,课程清单!A:Q,16,0)=$M$4,VLOOKUP(U57,课程清单!A:Q,17,0),""),"")</f>
        <v/>
      </c>
      <c r="N57" s="11">
        <f>IFERROR(IF(VLOOKUP(U57,课程清单!A:Q,16,0)=$N$4,VLOOKUP(U57,课程清单!A:Q,17,0),""),"")</f>
        <v>2</v>
      </c>
      <c r="O57" s="11" t="str">
        <f>IFERROR(IF(VLOOKUP(U57,课程清单!A:Q,16,0)=$O$4,VLOOKUP(U57,课程清单!A:Q,17,0),""),"")</f>
        <v/>
      </c>
      <c r="P57" s="11" t="str">
        <f>IFERROR(IF(VLOOKUP(U57,课程清单!A:Q,16,0)=$P$4,VLOOKUP(U57,课程清单!A:Q,17,0),""),"")</f>
        <v/>
      </c>
      <c r="Q57" s="11" t="str">
        <f>IFERROR(IF(VLOOKUP(U57,课程清单!A:Q,16,0)=$Q$4,VLOOKUP(U57,课程清单!A:Q,17,0),""),"")</f>
        <v/>
      </c>
      <c r="R57" s="11" t="str">
        <f>IFERROR(IF(VLOOKUP(U57,课程清单!A:Q,16,0)=$R$4,VLOOKUP(U57,课程清单!A:Q,17,0),""),"")</f>
        <v/>
      </c>
      <c r="S57" s="11" t="str">
        <f>IFERROR(IF(VLOOKUP(U57,课程清单!A:Q,16,0)=$S$4,VLOOKUP(U57,课程清单!A:Q,17,0),""),"")</f>
        <v/>
      </c>
      <c r="T57" s="7">
        <v>3</v>
      </c>
      <c r="U57" s="2" t="s">
        <v>340</v>
      </c>
      <c r="V57" s="7">
        <f t="shared" si="57"/>
        <v>42</v>
      </c>
      <c r="W57" s="7">
        <f t="shared" si="58"/>
        <v>2</v>
      </c>
      <c r="X57" s="7">
        <f t="shared" si="59"/>
        <v>32</v>
      </c>
      <c r="Y57" s="109">
        <f t="shared" si="60"/>
        <v>0</v>
      </c>
      <c r="Z57" s="109">
        <f t="shared" si="61"/>
        <v>0</v>
      </c>
      <c r="AA57" s="109">
        <f t="shared" si="62"/>
        <v>0</v>
      </c>
      <c r="AB57" s="109">
        <f t="shared" si="63"/>
        <v>0</v>
      </c>
    </row>
    <row r="58" spans="1:28" ht="24" x14ac:dyDescent="0.3">
      <c r="A58" s="188"/>
      <c r="B58" s="188"/>
      <c r="C58" s="11">
        <f>IF(E58="","",MAX(C$5:C57)+1)</f>
        <v>43</v>
      </c>
      <c r="D58" s="23" t="str">
        <f>IFERROR(IF(VLOOKUP(U58,课程清单!A:Q,7,0)="","",VLOOKUP(U58,课程清单!A:Q,7,0)),"")</f>
        <v>533047B1</v>
      </c>
      <c r="E58" s="12" t="str">
        <f>IFERROR(VLOOKUP(U58,课程清单!A:Q,8,0)&amp;IF(VLOOKUP(U58,课程清单!A:Q,9,0)="","",CHAR(10)&amp;VLOOKUP(U58,课程清单!A:Q,9,0)),"")</f>
        <v>概率论与数理统计B
Probability Theory and Mathematical Statistics B</v>
      </c>
      <c r="F58" s="11" t="str">
        <f>IFERROR(IF(VLOOKUP(U58,课程清单!A:Q,10,0)="","",VLOOKUP(U58,课程清单!A:Q,10,0)),"")</f>
        <v>必修</v>
      </c>
      <c r="G58" s="11" t="str">
        <f>IFERROR(IF(VLOOKUP(U58,课程清单!A:Q,11,0)="","",VLOOKUP(U58,课程清单!A:Q,11,0)),"")</f>
        <v>考查</v>
      </c>
      <c r="H58" s="11">
        <f>IFERROR(IF(VLOOKUP(U58,课程清单!A:Q,12,0)="","",VLOOKUP(U58,课程清单!A:Q,12,0)),"")</f>
        <v>2</v>
      </c>
      <c r="I58" s="11">
        <f>IFERROR(IF(VLOOKUP(U58,课程清单!A:Q,13,0)="","",VLOOKUP(U58,课程清单!A:Q,13,0)),"")</f>
        <v>32</v>
      </c>
      <c r="J58" s="11">
        <f>IFERROR(IF(VLOOKUP(U58,课程清单!A:Q,14,0)="","",VLOOKUP(U58,课程清单!A:Q,14,0)),"")</f>
        <v>32</v>
      </c>
      <c r="K58" s="28">
        <f>IFERROR(IF(VLOOKUP(U58,课程清单!A:Q,15,0)="","",VLOOKUP(U58,课程清单!A:Q,15,0)),"")</f>
        <v>0</v>
      </c>
      <c r="L58" s="26" t="str">
        <f>IFERROR(IF(VLOOKUP(U58,课程清单!A:Q,16,0)=$L$4,VLOOKUP(U58,课程清单!A:Q,17,0),""),"")</f>
        <v/>
      </c>
      <c r="M58" s="11" t="str">
        <f>IFERROR(IF(VLOOKUP(U58,课程清单!A:Q,16,0)=$M$4,VLOOKUP(U58,课程清单!A:Q,17,0),""),"")</f>
        <v/>
      </c>
      <c r="N58" s="11" t="str">
        <f>IFERROR(IF(VLOOKUP(U58,课程清单!A:Q,16,0)=$N$4,VLOOKUP(U58,课程清单!A:Q,17,0),""),"")</f>
        <v/>
      </c>
      <c r="O58" s="11" t="str">
        <f>IFERROR(IF(VLOOKUP(U58,课程清单!A:Q,16,0)=$O$4,VLOOKUP(U58,课程清单!A:Q,17,0),""),"")</f>
        <v/>
      </c>
      <c r="P58" s="11">
        <f>IFERROR(IF(VLOOKUP(U58,课程清单!A:Q,16,0)=$P$4,VLOOKUP(U58,课程清单!A:Q,17,0),""),"")</f>
        <v>2</v>
      </c>
      <c r="Q58" s="11" t="str">
        <f>IFERROR(IF(VLOOKUP(U58,课程清单!A:Q,16,0)=$Q$4,VLOOKUP(U58,课程清单!A:Q,17,0),""),"")</f>
        <v/>
      </c>
      <c r="R58" s="11" t="str">
        <f>IFERROR(IF(VLOOKUP(U58,课程清单!A:Q,16,0)=$R$4,VLOOKUP(U58,课程清单!A:Q,17,0),""),"")</f>
        <v/>
      </c>
      <c r="S58" s="11" t="str">
        <f>IFERROR(IF(VLOOKUP(U58,课程清单!A:Q,16,0)=$S$4,VLOOKUP(U58,课程清单!A:Q,17,0),""),"")</f>
        <v/>
      </c>
      <c r="T58" s="7">
        <v>4</v>
      </c>
      <c r="U58" s="2" t="s">
        <v>341</v>
      </c>
      <c r="V58" s="7">
        <f t="shared" si="57"/>
        <v>43</v>
      </c>
      <c r="W58" s="7">
        <f t="shared" si="58"/>
        <v>2</v>
      </c>
      <c r="X58" s="7">
        <f t="shared" si="59"/>
        <v>32</v>
      </c>
      <c r="Y58" s="109">
        <f t="shared" si="60"/>
        <v>0</v>
      </c>
      <c r="Z58" s="109">
        <f t="shared" si="61"/>
        <v>0</v>
      </c>
      <c r="AA58" s="109">
        <f t="shared" si="62"/>
        <v>0</v>
      </c>
      <c r="AB58" s="109">
        <f t="shared" si="63"/>
        <v>0</v>
      </c>
    </row>
    <row r="59" spans="1:28" ht="24" x14ac:dyDescent="0.3">
      <c r="A59" s="188"/>
      <c r="B59" s="188"/>
      <c r="C59" s="11">
        <f>IF(E59="","",MAX(C$5:C58)+1)</f>
        <v>44</v>
      </c>
      <c r="D59" s="23" t="str">
        <f>IFERROR(IF(VLOOKUP(U59,课程清单!A:Q,7,0)="","",VLOOKUP(U59,课程清单!A:Q,7,0)),"")</f>
        <v>533008G1</v>
      </c>
      <c r="E59" s="12" t="str">
        <f>IFERROR(VLOOKUP(U59,课程清单!A:Q,8,0)&amp;IF(VLOOKUP(U59,课程清单!A:Q,9,0)="","",CHAR(10)&amp;VLOOKUP(U59,课程清单!A:Q,9,0)),"")</f>
        <v>大学物理B（1）
College Physics B（1）</v>
      </c>
      <c r="F59" s="11" t="str">
        <f>IFERROR(IF(VLOOKUP(U59,课程清单!A:Q,10,0)="","",VLOOKUP(U59,课程清单!A:Q,10,0)),"")</f>
        <v>必修</v>
      </c>
      <c r="G59" s="11" t="str">
        <f>IFERROR(IF(VLOOKUP(U59,课程清单!A:Q,11,0)="","",VLOOKUP(U59,课程清单!A:Q,11,0)),"")</f>
        <v>考试</v>
      </c>
      <c r="H59" s="11">
        <f>IFERROR(IF(VLOOKUP(U59,课程清单!A:Q,12,0)="","",VLOOKUP(U59,课程清单!A:Q,12,0)),"")</f>
        <v>4</v>
      </c>
      <c r="I59" s="11">
        <f>IFERROR(IF(VLOOKUP(U59,课程清单!A:Q,13,0)="","",VLOOKUP(U59,课程清单!A:Q,13,0)),"")</f>
        <v>64</v>
      </c>
      <c r="J59" s="11">
        <f>IFERROR(IF(VLOOKUP(U59,课程清单!A:Q,14,0)="","",VLOOKUP(U59,课程清单!A:Q,14,0)),"")</f>
        <v>64</v>
      </c>
      <c r="K59" s="28">
        <f>IFERROR(IF(VLOOKUP(U59,课程清单!A:Q,15,0)="","",VLOOKUP(U59,课程清单!A:Q,15,0)),"")</f>
        <v>0</v>
      </c>
      <c r="L59" s="26" t="str">
        <f>IFERROR(IF(VLOOKUP(U59,课程清单!A:Q,16,0)=$L$4,VLOOKUP(U59,课程清单!A:Q,17,0),""),"")</f>
        <v/>
      </c>
      <c r="M59" s="11">
        <f>IFERROR(IF(VLOOKUP(U59,课程清单!A:Q,16,0)=$M$4,VLOOKUP(U59,课程清单!A:Q,17,0),""),"")</f>
        <v>4</v>
      </c>
      <c r="N59" s="11" t="str">
        <f>IFERROR(IF(VLOOKUP(U59,课程清单!A:Q,16,0)=$N$4,VLOOKUP(U59,课程清单!A:Q,17,0),""),"")</f>
        <v/>
      </c>
      <c r="O59" s="11" t="str">
        <f>IFERROR(IF(VLOOKUP(U59,课程清单!A:Q,16,0)=$O$4,VLOOKUP(U59,课程清单!A:Q,17,0),""),"")</f>
        <v/>
      </c>
      <c r="P59" s="11" t="str">
        <f>IFERROR(IF(VLOOKUP(U59,课程清单!A:Q,16,0)=$P$4,VLOOKUP(U59,课程清单!A:Q,17,0),""),"")</f>
        <v/>
      </c>
      <c r="Q59" s="11" t="str">
        <f>IFERROR(IF(VLOOKUP(U59,课程清单!A:Q,16,0)=$Q$4,VLOOKUP(U59,课程清单!A:Q,17,0),""),"")</f>
        <v/>
      </c>
      <c r="R59" s="11" t="str">
        <f>IFERROR(IF(VLOOKUP(U59,课程清单!A:Q,16,0)=$R$4,VLOOKUP(U59,课程清单!A:Q,17,0),""),"")</f>
        <v/>
      </c>
      <c r="S59" s="11" t="str">
        <f>IFERROR(IF(VLOOKUP(U59,课程清单!A:Q,16,0)=$S$4,VLOOKUP(U59,课程清单!A:Q,17,0),""),"")</f>
        <v/>
      </c>
      <c r="T59" s="7">
        <v>5</v>
      </c>
      <c r="U59" s="2" t="s">
        <v>342</v>
      </c>
      <c r="V59" s="7">
        <f t="shared" si="57"/>
        <v>44</v>
      </c>
      <c r="W59" s="7">
        <f t="shared" si="58"/>
        <v>4</v>
      </c>
      <c r="X59" s="7">
        <f t="shared" si="59"/>
        <v>64</v>
      </c>
      <c r="Y59" s="109">
        <f t="shared" si="60"/>
        <v>0</v>
      </c>
      <c r="Z59" s="109">
        <f t="shared" si="61"/>
        <v>0</v>
      </c>
      <c r="AA59" s="109">
        <f t="shared" si="62"/>
        <v>0</v>
      </c>
      <c r="AB59" s="109">
        <f t="shared" si="63"/>
        <v>0</v>
      </c>
    </row>
    <row r="60" spans="1:28" ht="24" x14ac:dyDescent="0.3">
      <c r="A60" s="188"/>
      <c r="B60" s="188"/>
      <c r="C60" s="11">
        <f>IF(E60="","",MAX(C$5:C59)+1)</f>
        <v>45</v>
      </c>
      <c r="D60" s="23" t="str">
        <f>IFERROR(IF(VLOOKUP(U60,课程清单!A:Q,7,0)="","",VLOOKUP(U60,课程清单!A:Q,7,0)),"")</f>
        <v>533008G2</v>
      </c>
      <c r="E60" s="12" t="str">
        <f>IFERROR(VLOOKUP(U60,课程清单!A:Q,8,0)&amp;IF(VLOOKUP(U60,课程清单!A:Q,9,0)="","",CHAR(10)&amp;VLOOKUP(U60,课程清单!A:Q,9,0)),"")</f>
        <v>大学物理B（2）
College Physics B（2）</v>
      </c>
      <c r="F60" s="11" t="str">
        <f>IFERROR(IF(VLOOKUP(U60,课程清单!A:Q,10,0)="","",VLOOKUP(U60,课程清单!A:Q,10,0)),"")</f>
        <v>必修</v>
      </c>
      <c r="G60" s="11" t="str">
        <f>IFERROR(IF(VLOOKUP(U60,课程清单!A:Q,11,0)="","",VLOOKUP(U60,课程清单!A:Q,11,0)),"")</f>
        <v>考试</v>
      </c>
      <c r="H60" s="11">
        <f>IFERROR(IF(VLOOKUP(U60,课程清单!A:Q,12,0)="","",VLOOKUP(U60,课程清单!A:Q,12,0)),"")</f>
        <v>3</v>
      </c>
      <c r="I60" s="11">
        <f>IFERROR(IF(VLOOKUP(U60,课程清单!A:Q,13,0)="","",VLOOKUP(U60,课程清单!A:Q,13,0)),"")</f>
        <v>48</v>
      </c>
      <c r="J60" s="11">
        <f>IFERROR(IF(VLOOKUP(U60,课程清单!A:Q,14,0)="","",VLOOKUP(U60,课程清单!A:Q,14,0)),"")</f>
        <v>48</v>
      </c>
      <c r="K60" s="28">
        <f>IFERROR(IF(VLOOKUP(U60,课程清单!A:Q,15,0)="","",VLOOKUP(U60,课程清单!A:Q,15,0)),"")</f>
        <v>0</v>
      </c>
      <c r="L60" s="26" t="str">
        <f>IFERROR(IF(VLOOKUP(U60,课程清单!A:Q,16,0)=$L$4,VLOOKUP(U60,课程清单!A:Q,17,0),""),"")</f>
        <v/>
      </c>
      <c r="M60" s="11" t="str">
        <f>IFERROR(IF(VLOOKUP(U60,课程清单!A:Q,16,0)=$M$4,VLOOKUP(U60,课程清单!A:Q,17,0),""),"")</f>
        <v/>
      </c>
      <c r="N60" s="11">
        <f>IFERROR(IF(VLOOKUP(U60,课程清单!A:Q,16,0)=$N$4,VLOOKUP(U60,课程清单!A:Q,17,0),""),"")</f>
        <v>3</v>
      </c>
      <c r="O60" s="11" t="str">
        <f>IFERROR(IF(VLOOKUP(U60,课程清单!A:Q,16,0)=$O$4,VLOOKUP(U60,课程清单!A:Q,17,0),""),"")</f>
        <v/>
      </c>
      <c r="P60" s="11" t="str">
        <f>IFERROR(IF(VLOOKUP(U60,课程清单!A:Q,16,0)=$P$4,VLOOKUP(U60,课程清单!A:Q,17,0),""),"")</f>
        <v/>
      </c>
      <c r="Q60" s="11" t="str">
        <f>IFERROR(IF(VLOOKUP(U60,课程清单!A:Q,16,0)=$Q$4,VLOOKUP(U60,课程清单!A:Q,17,0),""),"")</f>
        <v/>
      </c>
      <c r="R60" s="11" t="str">
        <f>IFERROR(IF(VLOOKUP(U60,课程清单!A:Q,16,0)=$R$4,VLOOKUP(U60,课程清单!A:Q,17,0),""),"")</f>
        <v/>
      </c>
      <c r="S60" s="11" t="str">
        <f>IFERROR(IF(VLOOKUP(U60,课程清单!A:Q,16,0)=$S$4,VLOOKUP(U60,课程清单!A:Q,17,0),""),"")</f>
        <v/>
      </c>
      <c r="T60" s="7">
        <v>6</v>
      </c>
      <c r="U60" s="2" t="s">
        <v>343</v>
      </c>
      <c r="V60" s="7">
        <f t="shared" si="57"/>
        <v>45</v>
      </c>
      <c r="W60" s="7">
        <f t="shared" si="58"/>
        <v>3</v>
      </c>
      <c r="X60" s="7">
        <f t="shared" si="59"/>
        <v>48</v>
      </c>
      <c r="Y60" s="109">
        <f t="shared" si="60"/>
        <v>0</v>
      </c>
      <c r="Z60" s="109">
        <f t="shared" si="61"/>
        <v>0</v>
      </c>
      <c r="AA60" s="109">
        <f t="shared" si="62"/>
        <v>0</v>
      </c>
      <c r="AB60" s="109">
        <f t="shared" si="63"/>
        <v>0</v>
      </c>
    </row>
    <row r="61" spans="1:28" ht="24" x14ac:dyDescent="0.3">
      <c r="A61" s="188"/>
      <c r="B61" s="188"/>
      <c r="C61" s="11">
        <f>IF(E61="","",MAX(C$5:C60)+1)</f>
        <v>46</v>
      </c>
      <c r="D61" s="23" t="str">
        <f>IFERROR(IF(VLOOKUP(U61,课程清单!A:Q,7,0)="","",VLOOKUP(U61,课程清单!A:Q,7,0)),"")</f>
        <v>533009B1</v>
      </c>
      <c r="E61" s="12" t="str">
        <f>IFERROR(VLOOKUP(U61,课程清单!A:Q,8,0)&amp;IF(VLOOKUP(U61,课程清单!A:Q,9,0)="","",CHAR(10)&amp;VLOOKUP(U61,课程清单!A:Q,9,0)),"")</f>
        <v>大学物理实验B（1）
College Physics Experiment B(1)</v>
      </c>
      <c r="F61" s="11" t="str">
        <f>IFERROR(IF(VLOOKUP(U61,课程清单!A:Q,10,0)="","",VLOOKUP(U61,课程清单!A:Q,10,0)),"")</f>
        <v>必修</v>
      </c>
      <c r="G61" s="11" t="str">
        <f>IFERROR(IF(VLOOKUP(U61,课程清单!A:Q,11,0)="","",VLOOKUP(U61,课程清单!A:Q,11,0)),"")</f>
        <v>考查</v>
      </c>
      <c r="H61" s="11">
        <f>IFERROR(IF(VLOOKUP(U61,课程清单!A:Q,12,0)="","",VLOOKUP(U61,课程清单!A:Q,12,0)),"")</f>
        <v>0.5</v>
      </c>
      <c r="I61" s="11">
        <f>IFERROR(IF(VLOOKUP(U61,课程清单!A:Q,13,0)="","",VLOOKUP(U61,课程清单!A:Q,13,0)),"")</f>
        <v>16</v>
      </c>
      <c r="J61" s="11">
        <f>IFERROR(IF(VLOOKUP(U61,课程清单!A:Q,14,0)="","",VLOOKUP(U61,课程清单!A:Q,14,0)),"")</f>
        <v>0</v>
      </c>
      <c r="K61" s="28">
        <f>IFERROR(IF(VLOOKUP(U61,课程清单!A:Q,15,0)="","",VLOOKUP(U61,课程清单!A:Q,15,0)),"")</f>
        <v>16</v>
      </c>
      <c r="L61" s="26" t="str">
        <f>IFERROR(IF(VLOOKUP(U61,课程清单!A:Q,16,0)=$L$4,VLOOKUP(U61,课程清单!A:Q,17,0),""),"")</f>
        <v/>
      </c>
      <c r="M61" s="11">
        <f>IFERROR(IF(VLOOKUP(U61,课程清单!A:Q,16,0)=$M$4,VLOOKUP(U61,课程清单!A:Q,17,0),""),"")</f>
        <v>0.5</v>
      </c>
      <c r="N61" s="11" t="str">
        <f>IFERROR(IF(VLOOKUP(U61,课程清单!A:Q,16,0)=$N$4,VLOOKUP(U61,课程清单!A:Q,17,0),""),"")</f>
        <v/>
      </c>
      <c r="O61" s="11" t="str">
        <f>IFERROR(IF(VLOOKUP(U61,课程清单!A:Q,16,0)=$O$4,VLOOKUP(U61,课程清单!A:Q,17,0),""),"")</f>
        <v/>
      </c>
      <c r="P61" s="11" t="str">
        <f>IFERROR(IF(VLOOKUP(U61,课程清单!A:Q,16,0)=$P$4,VLOOKUP(U61,课程清单!A:Q,17,0),""),"")</f>
        <v/>
      </c>
      <c r="Q61" s="11" t="str">
        <f>IFERROR(IF(VLOOKUP(U61,课程清单!A:Q,16,0)=$Q$4,VLOOKUP(U61,课程清单!A:Q,17,0),""),"")</f>
        <v/>
      </c>
      <c r="R61" s="11" t="str">
        <f>IFERROR(IF(VLOOKUP(U61,课程清单!A:Q,16,0)=$R$4,VLOOKUP(U61,课程清单!A:Q,17,0),""),"")</f>
        <v/>
      </c>
      <c r="S61" s="11" t="str">
        <f>IFERROR(IF(VLOOKUP(U61,课程清单!A:Q,16,0)=$S$4,VLOOKUP(U61,课程清单!A:Q,17,0),""),"")</f>
        <v/>
      </c>
      <c r="T61" s="7">
        <v>7</v>
      </c>
      <c r="U61" s="2" t="s">
        <v>344</v>
      </c>
      <c r="V61" s="7">
        <f t="shared" si="57"/>
        <v>46</v>
      </c>
      <c r="W61" s="7">
        <f t="shared" si="58"/>
        <v>0</v>
      </c>
      <c r="X61" s="7">
        <f t="shared" si="59"/>
        <v>0</v>
      </c>
      <c r="Y61" s="109">
        <f t="shared" si="60"/>
        <v>0.5</v>
      </c>
      <c r="Z61" s="109">
        <f t="shared" si="61"/>
        <v>16</v>
      </c>
      <c r="AA61" s="109">
        <f t="shared" si="62"/>
        <v>0</v>
      </c>
      <c r="AB61" s="109">
        <f t="shared" si="63"/>
        <v>0</v>
      </c>
    </row>
    <row r="62" spans="1:28" ht="24" x14ac:dyDescent="0.3">
      <c r="A62" s="188"/>
      <c r="B62" s="188"/>
      <c r="C62" s="11">
        <f>IF(E62="","",MAX(C$5:C61)+1)</f>
        <v>47</v>
      </c>
      <c r="D62" s="23" t="str">
        <f>IFERROR(IF(VLOOKUP(U62,课程清单!A:Q,7,0)="","",VLOOKUP(U62,课程清单!A:Q,7,0)),"")</f>
        <v>533009B2</v>
      </c>
      <c r="E62" s="12" t="str">
        <f>IFERROR(VLOOKUP(U62,课程清单!A:Q,8,0)&amp;IF(VLOOKUP(U62,课程清单!A:Q,9,0)="","",CHAR(10)&amp;VLOOKUP(U62,课程清单!A:Q,9,0)),"")</f>
        <v>大学物理实验B（2）
College Physics Experiment B(2)</v>
      </c>
      <c r="F62" s="11" t="str">
        <f>IFERROR(IF(VLOOKUP(U62,课程清单!A:Q,10,0)="","",VLOOKUP(U62,课程清单!A:Q,10,0)),"")</f>
        <v>必修</v>
      </c>
      <c r="G62" s="11" t="str">
        <f>IFERROR(IF(VLOOKUP(U62,课程清单!A:Q,11,0)="","",VLOOKUP(U62,课程清单!A:Q,11,0)),"")</f>
        <v>考查</v>
      </c>
      <c r="H62" s="11">
        <f>IFERROR(IF(VLOOKUP(U62,课程清单!A:Q,12,0)="","",VLOOKUP(U62,课程清单!A:Q,12,0)),"")</f>
        <v>0.5</v>
      </c>
      <c r="I62" s="11">
        <f>IFERROR(IF(VLOOKUP(U62,课程清单!A:Q,13,0)="","",VLOOKUP(U62,课程清单!A:Q,13,0)),"")</f>
        <v>16</v>
      </c>
      <c r="J62" s="11">
        <f>IFERROR(IF(VLOOKUP(U62,课程清单!A:Q,14,0)="","",VLOOKUP(U62,课程清单!A:Q,14,0)),"")</f>
        <v>0</v>
      </c>
      <c r="K62" s="28">
        <f>IFERROR(IF(VLOOKUP(U62,课程清单!A:Q,15,0)="","",VLOOKUP(U62,课程清单!A:Q,15,0)),"")</f>
        <v>16</v>
      </c>
      <c r="L62" s="26" t="str">
        <f>IFERROR(IF(VLOOKUP(U62,课程清单!A:Q,16,0)=$L$4,VLOOKUP(U62,课程清单!A:Q,17,0),""),"")</f>
        <v/>
      </c>
      <c r="M62" s="11" t="str">
        <f>IFERROR(IF(VLOOKUP(U62,课程清单!A:Q,16,0)=$M$4,VLOOKUP(U62,课程清单!A:Q,17,0),""),"")</f>
        <v/>
      </c>
      <c r="N62" s="11">
        <f>IFERROR(IF(VLOOKUP(U62,课程清单!A:Q,16,0)=$N$4,VLOOKUP(U62,课程清单!A:Q,17,0),""),"")</f>
        <v>0.5</v>
      </c>
      <c r="O62" s="11" t="str">
        <f>IFERROR(IF(VLOOKUP(U62,课程清单!A:Q,16,0)=$O$4,VLOOKUP(U62,课程清单!A:Q,17,0),""),"")</f>
        <v/>
      </c>
      <c r="P62" s="11" t="str">
        <f>IFERROR(IF(VLOOKUP(U62,课程清单!A:Q,16,0)=$P$4,VLOOKUP(U62,课程清单!A:Q,17,0),""),"")</f>
        <v/>
      </c>
      <c r="Q62" s="11" t="str">
        <f>IFERROR(IF(VLOOKUP(U62,课程清单!A:Q,16,0)=$Q$4,VLOOKUP(U62,课程清单!A:Q,17,0),""),"")</f>
        <v/>
      </c>
      <c r="R62" s="11" t="str">
        <f>IFERROR(IF(VLOOKUP(U62,课程清单!A:Q,16,0)=$R$4,VLOOKUP(U62,课程清单!A:Q,17,0),""),"")</f>
        <v/>
      </c>
      <c r="S62" s="11" t="str">
        <f>IFERROR(IF(VLOOKUP(U62,课程清单!A:Q,16,0)=$S$4,VLOOKUP(U62,课程清单!A:Q,17,0),""),"")</f>
        <v/>
      </c>
      <c r="T62" s="7">
        <v>8</v>
      </c>
      <c r="U62" s="2" t="s">
        <v>345</v>
      </c>
      <c r="V62" s="7">
        <f t="shared" si="57"/>
        <v>47</v>
      </c>
      <c r="W62" s="7">
        <f t="shared" si="58"/>
        <v>0</v>
      </c>
      <c r="X62" s="7">
        <f t="shared" si="59"/>
        <v>0</v>
      </c>
      <c r="Y62" s="109">
        <f t="shared" si="60"/>
        <v>0.5</v>
      </c>
      <c r="Z62" s="109">
        <f t="shared" si="61"/>
        <v>16</v>
      </c>
      <c r="AA62" s="109">
        <f t="shared" si="62"/>
        <v>0</v>
      </c>
      <c r="AB62" s="109">
        <f t="shared" si="63"/>
        <v>0</v>
      </c>
    </row>
    <row r="63" spans="1:28" ht="36" x14ac:dyDescent="0.3">
      <c r="A63" s="188"/>
      <c r="B63" s="188"/>
      <c r="C63" s="11">
        <f>IF(E63="","",MAX(C$5:C62)+1)</f>
        <v>48</v>
      </c>
      <c r="D63" s="23" t="s">
        <v>468</v>
      </c>
      <c r="E63" s="12" t="str">
        <f>IFERROR(VLOOKUP(U63,课程清单!A:Q,8,0)&amp;IF(VLOOKUP(U63,课程清单!A:Q,9,0)="","",CHAR(10)&amp;VLOOKUP(U63,课程清单!A:Q,9,0)),"")</f>
        <v>数值分析方法与工程应用
numerical analysis method and engineering application</v>
      </c>
      <c r="F63" s="11" t="str">
        <f>IFERROR(IF(VLOOKUP(U63,课程清单!A:Q,10,0)="","",VLOOKUP(U63,课程清单!A:Q,10,0)),"")</f>
        <v>必修</v>
      </c>
      <c r="G63" s="11" t="str">
        <f>IFERROR(IF(VLOOKUP(U63,课程清单!A:Q,11,0)="","",VLOOKUP(U63,课程清单!A:Q,11,0)),"")</f>
        <v>考查</v>
      </c>
      <c r="H63" s="11">
        <f>IFERROR(IF(VLOOKUP(U63,课程清单!A:Q,12,0)="","",VLOOKUP(U63,课程清单!A:Q,12,0)),"")</f>
        <v>3</v>
      </c>
      <c r="I63" s="11">
        <f>IFERROR(IF(VLOOKUP(U63,课程清单!A:Q,13,0)="","",VLOOKUP(U63,课程清单!A:Q,13,0)),"")</f>
        <v>48</v>
      </c>
      <c r="J63" s="11">
        <f>IFERROR(IF(VLOOKUP(U63,课程清单!A:Q,14,0)="","",VLOOKUP(U63,课程清单!A:Q,14,0)),"")</f>
        <v>48</v>
      </c>
      <c r="K63" s="28">
        <f>IFERROR(IF(VLOOKUP(U63,课程清单!A:Q,15,0)="","",VLOOKUP(U63,课程清单!A:Q,15,0)),"")</f>
        <v>0</v>
      </c>
      <c r="L63" s="26" t="str">
        <f>IFERROR(IF(VLOOKUP(U63,课程清单!A:Q,16,0)=$L$4,VLOOKUP(U63,课程清单!A:Q,17,0),""),"")</f>
        <v/>
      </c>
      <c r="M63" s="11" t="str">
        <f>IFERROR(IF(VLOOKUP(U63,课程清单!A:Q,16,0)=$M$4,VLOOKUP(U63,课程清单!A:Q,17,0),""),"")</f>
        <v/>
      </c>
      <c r="N63" s="11" t="str">
        <f>IFERROR(IF(VLOOKUP(U63,课程清单!A:Q,16,0)=$N$4,VLOOKUP(U63,课程清单!A:Q,17,0),""),"")</f>
        <v/>
      </c>
      <c r="O63" s="11" t="str">
        <f>IFERROR(IF(VLOOKUP(U63,课程清单!A:Q,16,0)=$O$4,VLOOKUP(U63,课程清单!A:Q,17,0),""),"")</f>
        <v/>
      </c>
      <c r="P63" s="11">
        <f>IFERROR(IF(VLOOKUP(U63,课程清单!A:Q,16,0)=$P$4,VLOOKUP(U63,课程清单!A:Q,17,0),""),"")</f>
        <v>3</v>
      </c>
      <c r="Q63" s="11" t="str">
        <f>IFERROR(IF(VLOOKUP(U63,课程清单!A:Q,16,0)=$Q$4,VLOOKUP(U63,课程清单!A:Q,17,0),""),"")</f>
        <v/>
      </c>
      <c r="R63" s="11" t="str">
        <f>IFERROR(IF(VLOOKUP(U63,课程清单!A:Q,16,0)=$R$4,VLOOKUP(U63,课程清单!A:Q,17,0),""),"")</f>
        <v/>
      </c>
      <c r="S63" s="11" t="str">
        <f>IFERROR(IF(VLOOKUP(U63,课程清单!A:Q,16,0)=$S$4,VLOOKUP(U63,课程清单!A:Q,17,0),""),"")</f>
        <v/>
      </c>
      <c r="T63" s="7">
        <v>9</v>
      </c>
      <c r="U63" s="2" t="s">
        <v>346</v>
      </c>
      <c r="V63" s="7">
        <f t="shared" si="57"/>
        <v>48</v>
      </c>
      <c r="W63" s="7">
        <f t="shared" si="58"/>
        <v>3</v>
      </c>
      <c r="X63" s="7">
        <f t="shared" si="59"/>
        <v>48</v>
      </c>
      <c r="Y63" s="109">
        <f t="shared" si="60"/>
        <v>0</v>
      </c>
      <c r="Z63" s="109">
        <f t="shared" si="61"/>
        <v>0</v>
      </c>
      <c r="AA63" s="109">
        <f t="shared" si="62"/>
        <v>0</v>
      </c>
      <c r="AB63" s="109">
        <f t="shared" si="63"/>
        <v>0</v>
      </c>
    </row>
    <row r="64" spans="1:28" ht="24" x14ac:dyDescent="0.3">
      <c r="A64" s="188"/>
      <c r="B64" s="188"/>
      <c r="C64" s="11">
        <f>IF(E64="","",MAX(C$5:C63)+1)</f>
        <v>49</v>
      </c>
      <c r="D64" s="23" t="str">
        <f>IFERROR(IF(VLOOKUP(U64,课程清单!A:Q,7,0)="","",VLOOKUP(U64,课程清单!A:Q,7,0)),"")</f>
        <v>023141P1</v>
      </c>
      <c r="E64" s="12" t="str">
        <f>IFERROR(VLOOKUP(U64,课程清单!A:Q,8,0)&amp;IF(VLOOKUP(U64,课程清单!A:Q,9,0)="","",CHAR(10)&amp;VLOOKUP(U64,课程清单!A:Q,9,0)),"")</f>
        <v>工程热力学与传热学基础
Fundamentals of Thermodynamics and Heat Transfer</v>
      </c>
      <c r="F64" s="11" t="str">
        <f>IFERROR(IF(VLOOKUP(U64,课程清单!A:Q,10,0)="","",VLOOKUP(U64,课程清单!A:Q,10,0)),"")</f>
        <v>必修</v>
      </c>
      <c r="G64" s="11" t="str">
        <f>IFERROR(IF(VLOOKUP(U64,课程清单!A:Q,11,0)="","",VLOOKUP(U64,课程清单!A:Q,11,0)),"")</f>
        <v>考查</v>
      </c>
      <c r="H64" s="11">
        <f>IFERROR(IF(VLOOKUP(U64,课程清单!A:Q,12,0)="","",VLOOKUP(U64,课程清单!A:Q,12,0)),"")</f>
        <v>1.5</v>
      </c>
      <c r="I64" s="11">
        <f>IFERROR(IF(VLOOKUP(U64,课程清单!A:Q,13,0)="","",VLOOKUP(U64,课程清单!A:Q,13,0)),"")</f>
        <v>24</v>
      </c>
      <c r="J64" s="11">
        <f>IFERROR(IF(VLOOKUP(U64,课程清单!A:Q,14,0)="","",VLOOKUP(U64,课程清单!A:Q,14,0)),"")</f>
        <v>24</v>
      </c>
      <c r="K64" s="28">
        <f>IFERROR(IF(VLOOKUP(U64,课程清单!A:Q,15,0)="","",VLOOKUP(U64,课程清单!A:Q,15,0)),"")</f>
        <v>0</v>
      </c>
      <c r="L64" s="26" t="str">
        <f>IFERROR(IF(VLOOKUP(U64,课程清单!A:Q,16,0)=$L$4,VLOOKUP(U64,课程清单!A:Q,17,0),""),"")</f>
        <v/>
      </c>
      <c r="M64" s="11" t="str">
        <f>IFERROR(IF(VLOOKUP(U64,课程清单!A:Q,16,0)=$M$4,VLOOKUP(U64,课程清单!A:Q,17,0),""),"")</f>
        <v/>
      </c>
      <c r="N64" s="11" t="str">
        <f>IFERROR(IF(VLOOKUP(U64,课程清单!A:Q,16,0)=$N$4,VLOOKUP(U64,课程清单!A:Q,17,0),""),"")</f>
        <v/>
      </c>
      <c r="O64" s="11" t="str">
        <f>IFERROR(IF(VLOOKUP(U64,课程清单!A:Q,16,0)=$O$4,VLOOKUP(U64,课程清单!A:Q,17,0),""),"")</f>
        <v/>
      </c>
      <c r="P64" s="11">
        <f>IFERROR(IF(VLOOKUP(U64,课程清单!A:Q,16,0)=$P$4,VLOOKUP(U64,课程清单!A:Q,17,0),""),"")</f>
        <v>1.5</v>
      </c>
      <c r="Q64" s="11" t="str">
        <f>IFERROR(IF(VLOOKUP(U64,课程清单!A:Q,16,0)=$Q$4,VLOOKUP(U64,课程清单!A:Q,17,0),""),"")</f>
        <v/>
      </c>
      <c r="R64" s="11" t="str">
        <f>IFERROR(IF(VLOOKUP(U64,课程清单!A:Q,16,0)=$R$4,VLOOKUP(U64,课程清单!A:Q,17,0),""),"")</f>
        <v/>
      </c>
      <c r="S64" s="11" t="str">
        <f>IFERROR(IF(VLOOKUP(U64,课程清单!A:Q,16,0)=$S$4,VLOOKUP(U64,课程清单!A:Q,17,0),""),"")</f>
        <v/>
      </c>
      <c r="T64" s="7">
        <v>10</v>
      </c>
      <c r="U64" s="2" t="s">
        <v>347</v>
      </c>
      <c r="V64" s="7">
        <f t="shared" si="57"/>
        <v>49</v>
      </c>
      <c r="W64" s="7">
        <f t="shared" si="58"/>
        <v>1.5</v>
      </c>
      <c r="X64" s="7">
        <f t="shared" si="59"/>
        <v>24</v>
      </c>
      <c r="Y64" s="109">
        <f t="shared" si="60"/>
        <v>0</v>
      </c>
      <c r="Z64" s="109">
        <f t="shared" si="61"/>
        <v>0</v>
      </c>
      <c r="AA64" s="109">
        <f t="shared" si="62"/>
        <v>0</v>
      </c>
      <c r="AB64" s="109">
        <f t="shared" si="63"/>
        <v>0</v>
      </c>
    </row>
    <row r="65" spans="1:28" ht="24" x14ac:dyDescent="0.3">
      <c r="A65" s="188"/>
      <c r="B65" s="188"/>
      <c r="C65" s="11">
        <f>IF(E65="","",MAX(C$5:C64)+1)</f>
        <v>50</v>
      </c>
      <c r="D65" s="23" t="str">
        <f>IFERROR(IF(VLOOKUP(U65,课程清单!A:Q,7,0)="","",VLOOKUP(U65,课程清单!A:Q,7,0)),"")</f>
        <v>023005A2</v>
      </c>
      <c r="E65" s="12" t="str">
        <f>IFERROR(VLOOKUP(U65,课程清单!A:Q,8,0)&amp;IF(VLOOKUP(U65,课程清单!A:Q,9,0)="","",CHAR(10)&amp;VLOOKUP(U65,课程清单!A:Q,9,0)),"")</f>
        <v>理论力学
Theoretical Mechanics</v>
      </c>
      <c r="F65" s="11" t="str">
        <f>IFERROR(IF(VLOOKUP(U65,课程清单!A:Q,10,0)="","",VLOOKUP(U65,课程清单!A:Q,10,0)),"")</f>
        <v>必修</v>
      </c>
      <c r="G65" s="11" t="str">
        <f>IFERROR(IF(VLOOKUP(U65,课程清单!A:Q,11,0)="","",VLOOKUP(U65,课程清单!A:Q,11,0)),"")</f>
        <v>考试</v>
      </c>
      <c r="H65" s="11">
        <f>IFERROR(IF(VLOOKUP(U65,课程清单!A:Q,12,0)="","",VLOOKUP(U65,课程清单!A:Q,12,0)),"")</f>
        <v>2.5</v>
      </c>
      <c r="I65" s="11">
        <f>IFERROR(IF(VLOOKUP(U65,课程清单!A:Q,13,0)="","",VLOOKUP(U65,课程清单!A:Q,13,0)),"")</f>
        <v>40</v>
      </c>
      <c r="J65" s="11">
        <f>IFERROR(IF(VLOOKUP(U65,课程清单!A:Q,14,0)="","",VLOOKUP(U65,课程清单!A:Q,14,0)),"")</f>
        <v>40</v>
      </c>
      <c r="K65" s="28">
        <f>IFERROR(IF(VLOOKUP(U65,课程清单!A:Q,15,0)="","",VLOOKUP(U65,课程清单!A:Q,15,0)),"")</f>
        <v>0</v>
      </c>
      <c r="L65" s="26" t="str">
        <f>IFERROR(IF(VLOOKUP(U65,课程清单!A:Q,16,0)=$L$4,VLOOKUP(U65,课程清单!A:Q,17,0),""),"")</f>
        <v/>
      </c>
      <c r="M65" s="11" t="str">
        <f>IFERROR(IF(VLOOKUP(U65,课程清单!A:Q,16,0)=$M$4,VLOOKUP(U65,课程清单!A:Q,17,0),""),"")</f>
        <v/>
      </c>
      <c r="N65" s="11">
        <f>IFERROR(IF(VLOOKUP(U65,课程清单!A:Q,16,0)=$N$4,VLOOKUP(U65,课程清单!A:Q,17,0),""),"")</f>
        <v>2.5</v>
      </c>
      <c r="O65" s="11" t="str">
        <f>IFERROR(IF(VLOOKUP(U65,课程清单!A:Q,16,0)=$O$4,VLOOKUP(U65,课程清单!A:Q,17,0),""),"")</f>
        <v/>
      </c>
      <c r="P65" s="11" t="str">
        <f>IFERROR(IF(VLOOKUP(U65,课程清单!A:Q,16,0)=$P$4,VLOOKUP(U65,课程清单!A:Q,17,0),""),"")</f>
        <v/>
      </c>
      <c r="Q65" s="11" t="str">
        <f>IFERROR(IF(VLOOKUP(U65,课程清单!A:Q,16,0)=$Q$4,VLOOKUP(U65,课程清单!A:Q,17,0),""),"")</f>
        <v/>
      </c>
      <c r="R65" s="11" t="str">
        <f>IFERROR(IF(VLOOKUP(U65,课程清单!A:Q,16,0)=$R$4,VLOOKUP(U65,课程清单!A:Q,17,0),""),"")</f>
        <v/>
      </c>
      <c r="S65" s="11" t="str">
        <f>IFERROR(IF(VLOOKUP(U65,课程清单!A:Q,16,0)=$S$4,VLOOKUP(U65,课程清单!A:Q,17,0),""),"")</f>
        <v/>
      </c>
      <c r="T65" s="7">
        <v>1</v>
      </c>
      <c r="U65" s="2" t="s">
        <v>348</v>
      </c>
      <c r="V65" s="7">
        <f t="shared" si="57"/>
        <v>50</v>
      </c>
      <c r="W65" s="7">
        <f t="shared" si="58"/>
        <v>2.5</v>
      </c>
      <c r="X65" s="7">
        <f t="shared" si="59"/>
        <v>40</v>
      </c>
      <c r="Y65" s="109">
        <f t="shared" si="60"/>
        <v>0</v>
      </c>
      <c r="Z65" s="109">
        <f t="shared" si="61"/>
        <v>0</v>
      </c>
      <c r="AA65" s="109">
        <f t="shared" si="62"/>
        <v>0</v>
      </c>
      <c r="AB65" s="109">
        <f t="shared" si="63"/>
        <v>0</v>
      </c>
    </row>
    <row r="66" spans="1:28" ht="24" x14ac:dyDescent="0.3">
      <c r="A66" s="188"/>
      <c r="B66" s="188"/>
      <c r="C66" s="11">
        <f>IF(E66="","",MAX(C$5:C65)+1)</f>
        <v>51</v>
      </c>
      <c r="D66" s="23" t="str">
        <f>IFERROR(IF(VLOOKUP(U66,课程清单!A:Q,7,0)="","",VLOOKUP(U66,课程清单!A:Q,7,0)),"")</f>
        <v>023001A2</v>
      </c>
      <c r="E66" s="12" t="str">
        <f>IFERROR(VLOOKUP(U66,课程清单!A:Q,8,0)&amp;IF(VLOOKUP(U66,课程清单!A:Q,9,0)="","",CHAR(10)&amp;VLOOKUP(U66,课程清单!A:Q,9,0)),"")</f>
        <v>材料力学
Mechanics of Materials</v>
      </c>
      <c r="F66" s="11" t="str">
        <f>IFERROR(IF(VLOOKUP(U66,课程清单!A:Q,10,0)="","",VLOOKUP(U66,课程清单!A:Q,10,0)),"")</f>
        <v>必修</v>
      </c>
      <c r="G66" s="11" t="str">
        <f>IFERROR(IF(VLOOKUP(U66,课程清单!A:Q,11,0)="","",VLOOKUP(U66,课程清单!A:Q,11,0)),"")</f>
        <v>考试</v>
      </c>
      <c r="H66" s="11">
        <f>IFERROR(IF(VLOOKUP(U66,课程清单!A:Q,12,0)="","",VLOOKUP(U66,课程清单!A:Q,12,0)),"")</f>
        <v>2.5</v>
      </c>
      <c r="I66" s="11">
        <f>IFERROR(IF(VLOOKUP(U66,课程清单!A:Q,13,0)="","",VLOOKUP(U66,课程清单!A:Q,13,0)),"")</f>
        <v>40</v>
      </c>
      <c r="J66" s="11">
        <f>IFERROR(IF(VLOOKUP(U66,课程清单!A:Q,14,0)="","",VLOOKUP(U66,课程清单!A:Q,14,0)),"")</f>
        <v>36</v>
      </c>
      <c r="K66" s="28">
        <f>IFERROR(IF(VLOOKUP(U66,课程清单!A:Q,15,0)="","",VLOOKUP(U66,课程清单!A:Q,15,0)),"")</f>
        <v>4</v>
      </c>
      <c r="L66" s="26" t="str">
        <f>IFERROR(IF(VLOOKUP(U66,课程清单!A:Q,16,0)=$L$4,VLOOKUP(U66,课程清单!A:Q,17,0),""),"")</f>
        <v/>
      </c>
      <c r="M66" s="11" t="str">
        <f>IFERROR(IF(VLOOKUP(U66,课程清单!A:Q,16,0)=$M$4,VLOOKUP(U66,课程清单!A:Q,17,0),""),"")</f>
        <v/>
      </c>
      <c r="N66" s="11" t="str">
        <f>IFERROR(IF(VLOOKUP(U66,课程清单!A:Q,16,0)=$N$4,VLOOKUP(U66,课程清单!A:Q,17,0),""),"")</f>
        <v/>
      </c>
      <c r="O66" s="11">
        <f>IFERROR(IF(VLOOKUP(U66,课程清单!A:Q,16,0)=$O$4,VLOOKUP(U66,课程清单!A:Q,17,0),""),"")</f>
        <v>2.5</v>
      </c>
      <c r="P66" s="11" t="str">
        <f>IFERROR(IF(VLOOKUP(U66,课程清单!A:Q,16,0)=$P$4,VLOOKUP(U66,课程清单!A:Q,17,0),""),"")</f>
        <v/>
      </c>
      <c r="Q66" s="11" t="str">
        <f>IFERROR(IF(VLOOKUP(U66,课程清单!A:Q,16,0)=$Q$4,VLOOKUP(U66,课程清单!A:Q,17,0),""),"")</f>
        <v/>
      </c>
      <c r="R66" s="11" t="str">
        <f>IFERROR(IF(VLOOKUP(U66,课程清单!A:Q,16,0)=$R$4,VLOOKUP(U66,课程清单!A:Q,17,0),""),"")</f>
        <v/>
      </c>
      <c r="S66" s="11" t="str">
        <f>IFERROR(IF(VLOOKUP(U66,课程清单!A:Q,16,0)=$S$4,VLOOKUP(U66,课程清单!A:Q,17,0),""),"")</f>
        <v/>
      </c>
      <c r="T66" s="7">
        <v>2</v>
      </c>
      <c r="U66" s="2" t="s">
        <v>349</v>
      </c>
      <c r="V66" s="7">
        <f t="shared" si="57"/>
        <v>51</v>
      </c>
      <c r="W66" s="7">
        <f t="shared" si="58"/>
        <v>2.25</v>
      </c>
      <c r="X66" s="7">
        <f t="shared" si="59"/>
        <v>36</v>
      </c>
      <c r="Y66" s="109">
        <f t="shared" si="60"/>
        <v>0.25</v>
      </c>
      <c r="Z66" s="109">
        <f t="shared" si="61"/>
        <v>4</v>
      </c>
      <c r="AA66" s="109">
        <f t="shared" si="62"/>
        <v>0</v>
      </c>
      <c r="AB66" s="109">
        <f t="shared" si="63"/>
        <v>0</v>
      </c>
    </row>
    <row r="67" spans="1:28" ht="24" x14ac:dyDescent="0.3">
      <c r="A67" s="188"/>
      <c r="B67" s="188"/>
      <c r="C67" s="11">
        <f>IF(E67="","",MAX(C$5:C66)+1)</f>
        <v>52</v>
      </c>
      <c r="D67" s="23" t="str">
        <f>IFERROR(IF(VLOOKUP(U67,课程清单!A:Q,7,0)="","",VLOOKUP(U67,课程清单!A:Q,7,0)),"")</f>
        <v>023455P1</v>
      </c>
      <c r="E67" s="12" t="str">
        <f>IFERROR(VLOOKUP(U67,课程清单!A:Q,8,0)&amp;IF(VLOOKUP(U67,课程清单!A:Q,9,0)="","",CHAR(10)&amp;VLOOKUP(U67,课程清单!A:Q,9,0)),"")</f>
        <v>工程材料及热处理
Engineering Materials and Heat Treatment</v>
      </c>
      <c r="F67" s="11" t="str">
        <f>IFERROR(IF(VLOOKUP(U67,课程清单!A:Q,10,0)="","",VLOOKUP(U67,课程清单!A:Q,10,0)),"")</f>
        <v>必修</v>
      </c>
      <c r="G67" s="11" t="str">
        <f>IFERROR(IF(VLOOKUP(U67,课程清单!A:Q,11,0)="","",VLOOKUP(U67,课程清单!A:Q,11,0)),"")</f>
        <v>考查</v>
      </c>
      <c r="H67" s="11">
        <f>IFERROR(IF(VLOOKUP(U67,课程清单!A:Q,12,0)="","",VLOOKUP(U67,课程清单!A:Q,12,0)),"")</f>
        <v>2.5</v>
      </c>
      <c r="I67" s="11">
        <f>IFERROR(IF(VLOOKUP(U67,课程清单!A:Q,13,0)="","",VLOOKUP(U67,课程清单!A:Q,13,0)),"")</f>
        <v>40</v>
      </c>
      <c r="J67" s="11">
        <f>IFERROR(IF(VLOOKUP(U67,课程清单!A:Q,14,0)="","",VLOOKUP(U67,课程清单!A:Q,14,0)),"")</f>
        <v>36</v>
      </c>
      <c r="K67" s="28">
        <f>IFERROR(IF(VLOOKUP(U67,课程清单!A:Q,15,0)="","",VLOOKUP(U67,课程清单!A:Q,15,0)),"")</f>
        <v>4</v>
      </c>
      <c r="L67" s="26" t="str">
        <f>IFERROR(IF(VLOOKUP(U67,课程清单!A:Q,16,0)=$L$4,VLOOKUP(U67,课程清单!A:Q,17,0),""),"")</f>
        <v/>
      </c>
      <c r="M67" s="11" t="str">
        <f>IFERROR(IF(VLOOKUP(U67,课程清单!A:Q,16,0)=$M$4,VLOOKUP(U67,课程清单!A:Q,17,0),""),"")</f>
        <v/>
      </c>
      <c r="N67" s="11">
        <f>IFERROR(IF(VLOOKUP(U67,课程清单!A:Q,16,0)=$N$4,VLOOKUP(U67,课程清单!A:Q,17,0),""),"")</f>
        <v>2.5</v>
      </c>
      <c r="O67" s="11" t="str">
        <f>IFERROR(IF(VLOOKUP(U67,课程清单!A:Q,16,0)=$O$4,VLOOKUP(U67,课程清单!A:Q,17,0),""),"")</f>
        <v/>
      </c>
      <c r="P67" s="11" t="str">
        <f>IFERROR(IF(VLOOKUP(U67,课程清单!A:Q,16,0)=$P$4,VLOOKUP(U67,课程清单!A:Q,17,0),""),"")</f>
        <v/>
      </c>
      <c r="Q67" s="11" t="str">
        <f>IFERROR(IF(VLOOKUP(U67,课程清单!A:Q,16,0)=$Q$4,VLOOKUP(U67,课程清单!A:Q,17,0),""),"")</f>
        <v/>
      </c>
      <c r="R67" s="11" t="str">
        <f>IFERROR(IF(VLOOKUP(U67,课程清单!A:Q,16,0)=$R$4,VLOOKUP(U67,课程清单!A:Q,17,0),""),"")</f>
        <v/>
      </c>
      <c r="S67" s="11" t="str">
        <f>IFERROR(IF(VLOOKUP(U67,课程清单!A:Q,16,0)=$S$4,VLOOKUP(U67,课程清单!A:Q,17,0),""),"")</f>
        <v/>
      </c>
      <c r="T67" s="7">
        <v>3</v>
      </c>
      <c r="U67" s="2" t="s">
        <v>350</v>
      </c>
      <c r="V67" s="7">
        <f t="shared" si="57"/>
        <v>52</v>
      </c>
      <c r="W67" s="7">
        <f t="shared" si="58"/>
        <v>2.25</v>
      </c>
      <c r="X67" s="7">
        <f t="shared" si="59"/>
        <v>36</v>
      </c>
      <c r="Y67" s="109">
        <f t="shared" si="60"/>
        <v>0.25</v>
      </c>
      <c r="Z67" s="109">
        <f t="shared" si="61"/>
        <v>4</v>
      </c>
      <c r="AA67" s="109">
        <f t="shared" si="62"/>
        <v>0</v>
      </c>
      <c r="AB67" s="109">
        <f t="shared" si="63"/>
        <v>0</v>
      </c>
    </row>
    <row r="68" spans="1:28" ht="24" x14ac:dyDescent="0.3">
      <c r="A68" s="188"/>
      <c r="B68" s="188"/>
      <c r="C68" s="11">
        <f>IF(E68="","",MAX(C$5:C67)+1)</f>
        <v>53</v>
      </c>
      <c r="D68" s="23" t="str">
        <f>IFERROR(IF(VLOOKUP(U68,课程清单!A:Q,7,0)="","",VLOOKUP(U68,课程清单!A:Q,7,0)),"")</f>
        <v>023013A1</v>
      </c>
      <c r="E68" s="12" t="str">
        <f>IFERROR(VLOOKUP(U68,课程清单!A:Q,8,0)&amp;IF(VLOOKUP(U68,课程清单!A:Q,9,0)="","",CHAR(10)&amp;VLOOKUP(U68,课程清单!A:Q,9,0)),"")</f>
        <v>机械制图（1）
Mechanical Drawing(1)</v>
      </c>
      <c r="F68" s="11" t="str">
        <f>IFERROR(IF(VLOOKUP(U68,课程清单!A:Q,10,0)="","",VLOOKUP(U68,课程清单!A:Q,10,0)),"")</f>
        <v>必修</v>
      </c>
      <c r="G68" s="11" t="str">
        <f>IFERROR(IF(VLOOKUP(U68,课程清单!A:Q,11,0)="","",VLOOKUP(U68,课程清单!A:Q,11,0)),"")</f>
        <v>考试</v>
      </c>
      <c r="H68" s="11">
        <f>IFERROR(IF(VLOOKUP(U68,课程清单!A:Q,12,0)="","",VLOOKUP(U68,课程清单!A:Q,12,0)),"")</f>
        <v>3</v>
      </c>
      <c r="I68" s="11">
        <f>IFERROR(IF(VLOOKUP(U68,课程清单!A:Q,13,0)="","",VLOOKUP(U68,课程清单!A:Q,13,0)),"")</f>
        <v>48</v>
      </c>
      <c r="J68" s="11">
        <f>IFERROR(IF(VLOOKUP(U68,课程清单!A:Q,14,0)="","",VLOOKUP(U68,课程清单!A:Q,14,0)),"")</f>
        <v>48</v>
      </c>
      <c r="K68" s="28">
        <f>IFERROR(IF(VLOOKUP(U68,课程清单!A:Q,15,0)="","",VLOOKUP(U68,课程清单!A:Q,15,0)),"")</f>
        <v>0</v>
      </c>
      <c r="L68" s="26">
        <f>IFERROR(IF(VLOOKUP(U68,课程清单!A:Q,16,0)=$L$4,VLOOKUP(U68,课程清单!A:Q,17,0),""),"")</f>
        <v>3</v>
      </c>
      <c r="M68" s="11" t="str">
        <f>IFERROR(IF(VLOOKUP(U68,课程清单!A:Q,16,0)=$M$4,VLOOKUP(U68,课程清单!A:Q,17,0),""),"")</f>
        <v/>
      </c>
      <c r="N68" s="11" t="str">
        <f>IFERROR(IF(VLOOKUP(U68,课程清单!A:Q,16,0)=$N$4,VLOOKUP(U68,课程清单!A:Q,17,0),""),"")</f>
        <v/>
      </c>
      <c r="O68" s="11" t="str">
        <f>IFERROR(IF(VLOOKUP(U68,课程清单!A:Q,16,0)=$O$4,VLOOKUP(U68,课程清单!A:Q,17,0),""),"")</f>
        <v/>
      </c>
      <c r="P68" s="11" t="str">
        <f>IFERROR(IF(VLOOKUP(U68,课程清单!A:Q,16,0)=$P$4,VLOOKUP(U68,课程清单!A:Q,17,0),""),"")</f>
        <v/>
      </c>
      <c r="Q68" s="11" t="str">
        <f>IFERROR(IF(VLOOKUP(U68,课程清单!A:Q,16,0)=$Q$4,VLOOKUP(U68,课程清单!A:Q,17,0),""),"")</f>
        <v/>
      </c>
      <c r="R68" s="11" t="str">
        <f>IFERROR(IF(VLOOKUP(U68,课程清单!A:Q,16,0)=$R$4,VLOOKUP(U68,课程清单!A:Q,17,0),""),"")</f>
        <v/>
      </c>
      <c r="S68" s="11" t="str">
        <f>IFERROR(IF(VLOOKUP(U68,课程清单!A:Q,16,0)=$S$4,VLOOKUP(U68,课程清单!A:Q,17,0),""),"")</f>
        <v/>
      </c>
      <c r="T68" s="7">
        <v>1</v>
      </c>
      <c r="U68" s="2" t="s">
        <v>351</v>
      </c>
      <c r="V68" s="7">
        <f t="shared" si="57"/>
        <v>53</v>
      </c>
      <c r="W68" s="7">
        <f t="shared" si="58"/>
        <v>3</v>
      </c>
      <c r="X68" s="7">
        <f t="shared" si="59"/>
        <v>48</v>
      </c>
      <c r="Y68" s="109">
        <f t="shared" si="60"/>
        <v>0</v>
      </c>
      <c r="Z68" s="109">
        <f t="shared" si="61"/>
        <v>0</v>
      </c>
      <c r="AA68" s="109">
        <f t="shared" si="62"/>
        <v>0</v>
      </c>
      <c r="AB68" s="109">
        <f t="shared" si="63"/>
        <v>0</v>
      </c>
    </row>
    <row r="69" spans="1:28" ht="24" x14ac:dyDescent="0.3">
      <c r="A69" s="188"/>
      <c r="B69" s="188"/>
      <c r="C69" s="11">
        <f>IF(E69="","",MAX(C$5:C68)+1)</f>
        <v>54</v>
      </c>
      <c r="D69" s="23" t="str">
        <f>IFERROR(IF(VLOOKUP(U69,课程清单!A:Q,7,0)="","",VLOOKUP(U69,课程清单!A:Q,7,0)),"")</f>
        <v>023013A4</v>
      </c>
      <c r="E69" s="12" t="str">
        <f>IFERROR(VLOOKUP(U69,课程清单!A:Q,8,0)&amp;IF(VLOOKUP(U69,课程清单!A:Q,9,0)="","",CHAR(10)&amp;VLOOKUP(U69,课程清单!A:Q,9,0)),"")</f>
        <v>机械制图（2）
Mechanical Drawing(2)</v>
      </c>
      <c r="F69" s="11" t="str">
        <f>IFERROR(IF(VLOOKUP(U69,课程清单!A:Q,10,0)="","",VLOOKUP(U69,课程清单!A:Q,10,0)),"")</f>
        <v>必修</v>
      </c>
      <c r="G69" s="11" t="str">
        <f>IFERROR(IF(VLOOKUP(U69,课程清单!A:Q,11,0)="","",VLOOKUP(U69,课程清单!A:Q,11,0)),"")</f>
        <v>考试</v>
      </c>
      <c r="H69" s="11">
        <f>IFERROR(IF(VLOOKUP(U69,课程清单!A:Q,12,0)="","",VLOOKUP(U69,课程清单!A:Q,12,0)),"")</f>
        <v>2.5</v>
      </c>
      <c r="I69" s="11">
        <f>IFERROR(IF(VLOOKUP(U69,课程清单!A:Q,13,0)="","",VLOOKUP(U69,课程清单!A:Q,13,0)),"")</f>
        <v>40</v>
      </c>
      <c r="J69" s="11">
        <f>IFERROR(IF(VLOOKUP(U69,课程清单!A:Q,14,0)="","",VLOOKUP(U69,课程清单!A:Q,14,0)),"")</f>
        <v>40</v>
      </c>
      <c r="K69" s="28">
        <f>IFERROR(IF(VLOOKUP(U69,课程清单!A:Q,15,0)="","",VLOOKUP(U69,课程清单!A:Q,15,0)),"")</f>
        <v>0</v>
      </c>
      <c r="L69" s="26" t="str">
        <f>IFERROR(IF(VLOOKUP(U69,课程清单!A:Q,16,0)=$L$4,VLOOKUP(U69,课程清单!A:Q,17,0),""),"")</f>
        <v/>
      </c>
      <c r="M69" s="11">
        <f>IFERROR(IF(VLOOKUP(U69,课程清单!A:Q,16,0)=$M$4,VLOOKUP(U69,课程清单!A:Q,17,0),""),"")</f>
        <v>2.5</v>
      </c>
      <c r="N69" s="11" t="str">
        <f>IFERROR(IF(VLOOKUP(U69,课程清单!A:Q,16,0)=$N$4,VLOOKUP(U69,课程清单!A:Q,17,0),""),"")</f>
        <v/>
      </c>
      <c r="O69" s="11" t="str">
        <f>IFERROR(IF(VLOOKUP(U69,课程清单!A:Q,16,0)=$O$4,VLOOKUP(U69,课程清单!A:Q,17,0),""),"")</f>
        <v/>
      </c>
      <c r="P69" s="11" t="str">
        <f>IFERROR(IF(VLOOKUP(U69,课程清单!A:Q,16,0)=$P$4,VLOOKUP(U69,课程清单!A:Q,17,0),""),"")</f>
        <v/>
      </c>
      <c r="Q69" s="11" t="str">
        <f>IFERROR(IF(VLOOKUP(U69,课程清单!A:Q,16,0)=$Q$4,VLOOKUP(U69,课程清单!A:Q,17,0),""),"")</f>
        <v/>
      </c>
      <c r="R69" s="11" t="str">
        <f>IFERROR(IF(VLOOKUP(U69,课程清单!A:Q,16,0)=$R$4,VLOOKUP(U69,课程清单!A:Q,17,0),""),"")</f>
        <v/>
      </c>
      <c r="S69" s="11" t="str">
        <f>IFERROR(IF(VLOOKUP(U69,课程清单!A:Q,16,0)=$S$4,VLOOKUP(U69,课程清单!A:Q,17,0),""),"")</f>
        <v/>
      </c>
      <c r="T69" s="7">
        <v>2</v>
      </c>
      <c r="U69" s="2" t="s">
        <v>352</v>
      </c>
      <c r="V69" s="7">
        <f t="shared" si="57"/>
        <v>54</v>
      </c>
      <c r="W69" s="7">
        <f t="shared" si="58"/>
        <v>2.5</v>
      </c>
      <c r="X69" s="7">
        <f t="shared" si="59"/>
        <v>40</v>
      </c>
      <c r="Y69" s="109">
        <f t="shared" si="60"/>
        <v>0</v>
      </c>
      <c r="Z69" s="109">
        <f t="shared" si="61"/>
        <v>0</v>
      </c>
      <c r="AA69" s="109">
        <f t="shared" si="62"/>
        <v>0</v>
      </c>
      <c r="AB69" s="109">
        <f t="shared" si="63"/>
        <v>0</v>
      </c>
    </row>
    <row r="70" spans="1:28" ht="24" x14ac:dyDescent="0.3">
      <c r="A70" s="188"/>
      <c r="B70" s="188"/>
      <c r="C70" s="11">
        <f>IF(E70="","",MAX(C$5:C69)+1)</f>
        <v>55</v>
      </c>
      <c r="D70" s="23" t="str">
        <f>IFERROR(IF(VLOOKUP(U70,课程清单!A:Q,7,0)="","",VLOOKUP(U70,课程清单!A:Q,7,0)),"")</f>
        <v>023002P1</v>
      </c>
      <c r="E70" s="12" t="str">
        <f>IFERROR(VLOOKUP(U70,课程清单!A:Q,8,0)&amp;IF(VLOOKUP(U70,课程清单!A:Q,9,0)="","",CHAR(10)&amp;VLOOKUP(U70,课程清单!A:Q,9,0)),"")</f>
        <v>互换性与技术测量
Interchangeability and Measurement Technology</v>
      </c>
      <c r="F70" s="11" t="str">
        <f>IFERROR(IF(VLOOKUP(U70,课程清单!A:Q,10,0)="","",VLOOKUP(U70,课程清单!A:Q,10,0)),"")</f>
        <v>必修</v>
      </c>
      <c r="G70" s="11" t="str">
        <f>IFERROR(IF(VLOOKUP(U70,课程清单!A:Q,11,0)="","",VLOOKUP(U70,课程清单!A:Q,11,0)),"")</f>
        <v>考查</v>
      </c>
      <c r="H70" s="11">
        <f>IFERROR(IF(VLOOKUP(U70,课程清单!A:Q,12,0)="","",VLOOKUP(U70,课程清单!A:Q,12,0)),"")</f>
        <v>2</v>
      </c>
      <c r="I70" s="11">
        <f>IFERROR(IF(VLOOKUP(U70,课程清单!A:Q,13,0)="","",VLOOKUP(U70,课程清单!A:Q,13,0)),"")</f>
        <v>32</v>
      </c>
      <c r="J70" s="11">
        <f>IFERROR(IF(VLOOKUP(U70,课程清单!A:Q,14,0)="","",VLOOKUP(U70,课程清单!A:Q,14,0)),"")</f>
        <v>24</v>
      </c>
      <c r="K70" s="28">
        <f>IFERROR(IF(VLOOKUP(U70,课程清单!A:Q,15,0)="","",VLOOKUP(U70,课程清单!A:Q,15,0)),"")</f>
        <v>8</v>
      </c>
      <c r="L70" s="26" t="str">
        <f>IFERROR(IF(VLOOKUP(U70,课程清单!A:Q,16,0)=$L$4,VLOOKUP(U70,课程清单!A:Q,17,0),""),"")</f>
        <v/>
      </c>
      <c r="M70" s="11" t="str">
        <f>IFERROR(IF(VLOOKUP(U70,课程清单!A:Q,16,0)=$M$4,VLOOKUP(U70,课程清单!A:Q,17,0),""),"")</f>
        <v/>
      </c>
      <c r="N70" s="11">
        <f>IFERROR(IF(VLOOKUP(U70,课程清单!A:Q,16,0)=$N$4,VLOOKUP(U70,课程清单!A:Q,17,0),""),"")</f>
        <v>2</v>
      </c>
      <c r="O70" s="11" t="str">
        <f>IFERROR(IF(VLOOKUP(U70,课程清单!A:Q,16,0)=$O$4,VLOOKUP(U70,课程清单!A:Q,17,0),""),"")</f>
        <v/>
      </c>
      <c r="P70" s="11" t="str">
        <f>IFERROR(IF(VLOOKUP(U70,课程清单!A:Q,16,0)=$P$4,VLOOKUP(U70,课程清单!A:Q,17,0),""),"")</f>
        <v/>
      </c>
      <c r="Q70" s="11" t="str">
        <f>IFERROR(IF(VLOOKUP(U70,课程清单!A:Q,16,0)=$Q$4,VLOOKUP(U70,课程清单!A:Q,17,0),""),"")</f>
        <v/>
      </c>
      <c r="R70" s="11" t="str">
        <f>IFERROR(IF(VLOOKUP(U70,课程清单!A:Q,16,0)=$R$4,VLOOKUP(U70,课程清单!A:Q,17,0),""),"")</f>
        <v/>
      </c>
      <c r="S70" s="11" t="str">
        <f>IFERROR(IF(VLOOKUP(U70,课程清单!A:Q,16,0)=$S$4,VLOOKUP(U70,课程清单!A:Q,17,0),""),"")</f>
        <v/>
      </c>
      <c r="T70" s="7">
        <v>3</v>
      </c>
      <c r="U70" s="2" t="s">
        <v>353</v>
      </c>
      <c r="V70" s="7">
        <f t="shared" si="57"/>
        <v>55</v>
      </c>
      <c r="W70" s="7">
        <f t="shared" si="58"/>
        <v>1.5</v>
      </c>
      <c r="X70" s="7">
        <f t="shared" si="59"/>
        <v>24</v>
      </c>
      <c r="Y70" s="109">
        <f t="shared" si="60"/>
        <v>0.5</v>
      </c>
      <c r="Z70" s="109">
        <f t="shared" si="61"/>
        <v>8</v>
      </c>
      <c r="AA70" s="109">
        <f t="shared" si="62"/>
        <v>0</v>
      </c>
      <c r="AB70" s="109">
        <f t="shared" si="63"/>
        <v>0</v>
      </c>
    </row>
    <row r="71" spans="1:28" ht="24" x14ac:dyDescent="0.3">
      <c r="A71" s="188"/>
      <c r="B71" s="188"/>
      <c r="C71" s="11">
        <f>IF(E71="","",MAX(C$5:C70)+1)</f>
        <v>56</v>
      </c>
      <c r="D71" s="23" t="str">
        <f>IFERROR(IF(VLOOKUP(U71,课程清单!A:Q,7,0)="","",VLOOKUP(U71,课程清单!A:Q,7,0)),"")</f>
        <v>033032G1</v>
      </c>
      <c r="E71" s="12" t="str">
        <f>IFERROR(VLOOKUP(U71,课程清单!A:Q,8,0)&amp;IF(VLOOKUP(U71,课程清单!A:Q,9,0)="","",CHAR(10)&amp;VLOOKUP(U71,课程清单!A:Q,9,0)),"")</f>
        <v>高级语言程序设计基础
Fundamentals of Advanced Language</v>
      </c>
      <c r="F71" s="11" t="str">
        <f>IFERROR(IF(VLOOKUP(U71,课程清单!A:Q,10,0)="","",VLOOKUP(U71,课程清单!A:Q,10,0)),"")</f>
        <v>必修</v>
      </c>
      <c r="G71" s="11" t="str">
        <f>IFERROR(IF(VLOOKUP(U71,课程清单!A:Q,11,0)="","",VLOOKUP(U71,课程清单!A:Q,11,0)),"")</f>
        <v>考试</v>
      </c>
      <c r="H71" s="11">
        <f>IFERROR(IF(VLOOKUP(U71,课程清单!A:Q,12,0)="","",VLOOKUP(U71,课程清单!A:Q,12,0)),"")</f>
        <v>2</v>
      </c>
      <c r="I71" s="11">
        <f>IFERROR(IF(VLOOKUP(U71,课程清单!A:Q,13,0)="","",VLOOKUP(U71,课程清单!A:Q,13,0)),"")</f>
        <v>32</v>
      </c>
      <c r="J71" s="11">
        <f>IFERROR(IF(VLOOKUP(U71,课程清单!A:Q,14,0)="","",VLOOKUP(U71,课程清单!A:Q,14,0)),"")</f>
        <v>32</v>
      </c>
      <c r="K71" s="28">
        <f>IFERROR(IF(VLOOKUP(U71,课程清单!A:Q,15,0)="","",VLOOKUP(U71,课程清单!A:Q,15,0)),"")</f>
        <v>0</v>
      </c>
      <c r="L71" s="26" t="str">
        <f>IFERROR(IF(VLOOKUP(U71,课程清单!A:Q,16,0)=$L$4,VLOOKUP(U71,课程清单!A:Q,17,0),""),"")</f>
        <v/>
      </c>
      <c r="M71" s="11">
        <f>IFERROR(IF(VLOOKUP(U71,课程清单!A:Q,16,0)=$M$4,VLOOKUP(U71,课程清单!A:Q,17,0),""),"")</f>
        <v>2</v>
      </c>
      <c r="N71" s="11" t="str">
        <f>IFERROR(IF(VLOOKUP(U71,课程清单!A:Q,16,0)=$N$4,VLOOKUP(U71,课程清单!A:Q,17,0),""),"")</f>
        <v/>
      </c>
      <c r="O71" s="11" t="str">
        <f>IFERROR(IF(VLOOKUP(U71,课程清单!A:Q,16,0)=$O$4,VLOOKUP(U71,课程清单!A:Q,17,0),""),"")</f>
        <v/>
      </c>
      <c r="P71" s="11" t="str">
        <f>IFERROR(IF(VLOOKUP(U71,课程清单!A:Q,16,0)=$P$4,VLOOKUP(U71,课程清单!A:Q,17,0),""),"")</f>
        <v/>
      </c>
      <c r="Q71" s="11" t="str">
        <f>IFERROR(IF(VLOOKUP(U71,课程清单!A:Q,16,0)=$Q$4,VLOOKUP(U71,课程清单!A:Q,17,0),""),"")</f>
        <v/>
      </c>
      <c r="R71" s="11" t="str">
        <f>IFERROR(IF(VLOOKUP(U71,课程清单!A:Q,16,0)=$R$4,VLOOKUP(U71,课程清单!A:Q,17,0),""),"")</f>
        <v/>
      </c>
      <c r="S71" s="11" t="str">
        <f>IFERROR(IF(VLOOKUP(U71,课程清单!A:Q,16,0)=$S$4,VLOOKUP(U71,课程清单!A:Q,17,0),""),"")</f>
        <v/>
      </c>
      <c r="T71" s="7">
        <v>4</v>
      </c>
      <c r="U71" s="2" t="s">
        <v>354</v>
      </c>
      <c r="V71" s="7">
        <f t="shared" si="57"/>
        <v>56</v>
      </c>
      <c r="W71" s="7">
        <f t="shared" si="58"/>
        <v>2</v>
      </c>
      <c r="X71" s="7">
        <f t="shared" si="59"/>
        <v>32</v>
      </c>
      <c r="Y71" s="109">
        <f t="shared" si="60"/>
        <v>0</v>
      </c>
      <c r="Z71" s="109">
        <f t="shared" si="61"/>
        <v>0</v>
      </c>
      <c r="AA71" s="109">
        <f t="shared" si="62"/>
        <v>0</v>
      </c>
      <c r="AB71" s="109">
        <f t="shared" si="63"/>
        <v>0</v>
      </c>
    </row>
    <row r="72" spans="1:28" ht="36" x14ac:dyDescent="0.3">
      <c r="A72" s="188"/>
      <c r="B72" s="188"/>
      <c r="C72" s="11">
        <f>IF(E72="","",MAX(C$5:C71)+1)</f>
        <v>57</v>
      </c>
      <c r="D72" s="23" t="str">
        <f>IFERROR(IF(VLOOKUP(U72,课程清单!A:Q,7,0)="","",VLOOKUP(U72,课程清单!A:Q,7,0)),"")</f>
        <v>033032H1</v>
      </c>
      <c r="E72" s="12" t="str">
        <f>IFERROR(VLOOKUP(U72,课程清单!A:Q,8,0)&amp;IF(VLOOKUP(U72,课程清单!A:Q,9,0)="","",CHAR(10)&amp;VLOOKUP(U72,课程清单!A:Q,9,0)),"")</f>
        <v>高级语言程序设计基础实验
Fundamentals of Advanced Language Programming Experiment</v>
      </c>
      <c r="F72" s="11" t="str">
        <f>IFERROR(IF(VLOOKUP(U72,课程清单!A:Q,10,0)="","",VLOOKUP(U72,课程清单!A:Q,10,0)),"")</f>
        <v>必修</v>
      </c>
      <c r="G72" s="11" t="str">
        <f>IFERROR(IF(VLOOKUP(U72,课程清单!A:Q,11,0)="","",VLOOKUP(U72,课程清单!A:Q,11,0)),"")</f>
        <v>考查</v>
      </c>
      <c r="H72" s="11">
        <f>IFERROR(IF(VLOOKUP(U72,课程清单!A:Q,12,0)="","",VLOOKUP(U72,课程清单!A:Q,12,0)),"")</f>
        <v>1</v>
      </c>
      <c r="I72" s="11">
        <f>IFERROR(IF(VLOOKUP(U72,课程清单!A:Q,13,0)="","",VLOOKUP(U72,课程清单!A:Q,13,0)),"")</f>
        <v>32</v>
      </c>
      <c r="J72" s="11">
        <f>IFERROR(IF(VLOOKUP(U72,课程清单!A:Q,14,0)="","",VLOOKUP(U72,课程清单!A:Q,14,0)),"")</f>
        <v>0</v>
      </c>
      <c r="K72" s="28">
        <f>IFERROR(IF(VLOOKUP(U72,课程清单!A:Q,15,0)="","",VLOOKUP(U72,课程清单!A:Q,15,0)),"")</f>
        <v>32</v>
      </c>
      <c r="L72" s="26" t="str">
        <f>IFERROR(IF(VLOOKUP(U72,课程清单!A:Q,16,0)=$L$4,VLOOKUP(U72,课程清单!A:Q,17,0),""),"")</f>
        <v/>
      </c>
      <c r="M72" s="11">
        <f>IFERROR(IF(VLOOKUP(U72,课程清单!A:Q,16,0)=$M$4,VLOOKUP(U72,课程清单!A:Q,17,0),""),"")</f>
        <v>2</v>
      </c>
      <c r="N72" s="11" t="str">
        <f>IFERROR(IF(VLOOKUP(U72,课程清单!A:Q,16,0)=$N$4,VLOOKUP(U72,课程清单!A:Q,17,0),""),"")</f>
        <v/>
      </c>
      <c r="O72" s="11" t="str">
        <f>IFERROR(IF(VLOOKUP(U72,课程清单!A:Q,16,0)=$O$4,VLOOKUP(U72,课程清单!A:Q,17,0),""),"")</f>
        <v/>
      </c>
      <c r="P72" s="11" t="str">
        <f>IFERROR(IF(VLOOKUP(U72,课程清单!A:Q,16,0)=$P$4,VLOOKUP(U72,课程清单!A:Q,17,0),""),"")</f>
        <v/>
      </c>
      <c r="Q72" s="11" t="str">
        <f>IFERROR(IF(VLOOKUP(U72,课程清单!A:Q,16,0)=$Q$4,VLOOKUP(U72,课程清单!A:Q,17,0),""),"")</f>
        <v/>
      </c>
      <c r="R72" s="11" t="str">
        <f>IFERROR(IF(VLOOKUP(U72,课程清单!A:Q,16,0)=$R$4,VLOOKUP(U72,课程清单!A:Q,17,0),""),"")</f>
        <v/>
      </c>
      <c r="S72" s="11" t="str">
        <f>IFERROR(IF(VLOOKUP(U72,课程清单!A:Q,16,0)=$S$4,VLOOKUP(U72,课程清单!A:Q,17,0),""),"")</f>
        <v/>
      </c>
      <c r="T72" s="7">
        <v>5</v>
      </c>
      <c r="U72" s="2" t="s">
        <v>355</v>
      </c>
      <c r="V72" s="7">
        <f t="shared" si="57"/>
        <v>57</v>
      </c>
      <c r="W72" s="7">
        <f t="shared" si="58"/>
        <v>0</v>
      </c>
      <c r="X72" s="7">
        <f t="shared" si="59"/>
        <v>0</v>
      </c>
      <c r="Y72" s="109">
        <f t="shared" si="60"/>
        <v>1</v>
      </c>
      <c r="Z72" s="109">
        <f t="shared" si="61"/>
        <v>32</v>
      </c>
      <c r="AA72" s="109">
        <f t="shared" si="62"/>
        <v>0</v>
      </c>
      <c r="AB72" s="109">
        <f t="shared" si="63"/>
        <v>0</v>
      </c>
    </row>
    <row r="73" spans="1:28" ht="24" x14ac:dyDescent="0.3">
      <c r="A73" s="188"/>
      <c r="B73" s="188"/>
      <c r="C73" s="11">
        <f>IF(E73="","",MAX(C$5:C72)+1)</f>
        <v>58</v>
      </c>
      <c r="D73" s="23" t="str">
        <f>IFERROR(IF(VLOOKUP(U73,课程清单!A:Q,7,0)="","",VLOOKUP(U73,课程清单!A:Q,7,0)),"")</f>
        <v>013016B1</v>
      </c>
      <c r="E73" s="12" t="str">
        <f>IFERROR(VLOOKUP(U73,课程清单!A:Q,8,0)&amp;IF(VLOOKUP(U73,课程清单!A:Q,9,0)="","",CHAR(10)&amp;VLOOKUP(U73,课程清单!A:Q,9,0)),"")</f>
        <v>电工电子技术
Electrical and Electronic Technology</v>
      </c>
      <c r="F73" s="11" t="str">
        <f>IFERROR(IF(VLOOKUP(U73,课程清单!A:Q,10,0)="","",VLOOKUP(U73,课程清单!A:Q,10,0)),"")</f>
        <v>必修</v>
      </c>
      <c r="G73" s="11" t="str">
        <f>IFERROR(IF(VLOOKUP(U73,课程清单!A:Q,11,0)="","",VLOOKUP(U73,课程清单!A:Q,11,0)),"")</f>
        <v>考试</v>
      </c>
      <c r="H73" s="11">
        <f>IFERROR(IF(VLOOKUP(U73,课程清单!A:Q,12,0)="","",VLOOKUP(U73,课程清单!A:Q,12,0)),"")</f>
        <v>4</v>
      </c>
      <c r="I73" s="11">
        <f>IFERROR(IF(VLOOKUP(U73,课程清单!A:Q,13,0)="","",VLOOKUP(U73,课程清单!A:Q,13,0)),"")</f>
        <v>64</v>
      </c>
      <c r="J73" s="11">
        <f>IFERROR(IF(VLOOKUP(U73,课程清单!A:Q,14,0)="","",VLOOKUP(U73,课程清单!A:Q,14,0)),"")</f>
        <v>56</v>
      </c>
      <c r="K73" s="28">
        <f>IFERROR(IF(VLOOKUP(U73,课程清单!A:Q,15,0)="","",VLOOKUP(U73,课程清单!A:Q,15,0)),"")</f>
        <v>8</v>
      </c>
      <c r="L73" s="26" t="str">
        <f>IFERROR(IF(VLOOKUP(U73,课程清单!A:Q,16,0)=$L$4,VLOOKUP(U73,课程清单!A:Q,17,0),""),"")</f>
        <v/>
      </c>
      <c r="M73" s="11" t="str">
        <f>IFERROR(IF(VLOOKUP(U73,课程清单!A:Q,16,0)=$M$4,VLOOKUP(U73,课程清单!A:Q,17,0),""),"")</f>
        <v/>
      </c>
      <c r="N73" s="11" t="str">
        <f>IFERROR(IF(VLOOKUP(U73,课程清单!A:Q,16,0)=$N$4,VLOOKUP(U73,课程清单!A:Q,17,0),""),"")</f>
        <v/>
      </c>
      <c r="O73" s="11">
        <f>IFERROR(IF(VLOOKUP(U73,课程清单!A:Q,16,0)=$O$4,VLOOKUP(U73,课程清单!A:Q,17,0),""),"")</f>
        <v>4</v>
      </c>
      <c r="P73" s="11" t="str">
        <f>IFERROR(IF(VLOOKUP(U73,课程清单!A:Q,16,0)=$P$4,VLOOKUP(U73,课程清单!A:Q,17,0),""),"")</f>
        <v/>
      </c>
      <c r="Q73" s="11" t="str">
        <f>IFERROR(IF(VLOOKUP(U73,课程清单!A:Q,16,0)=$Q$4,VLOOKUP(U73,课程清单!A:Q,17,0),""),"")</f>
        <v/>
      </c>
      <c r="R73" s="11" t="str">
        <f>IFERROR(IF(VLOOKUP(U73,课程清单!A:Q,16,0)=$R$4,VLOOKUP(U73,课程清单!A:Q,17,0),""),"")</f>
        <v/>
      </c>
      <c r="S73" s="11" t="str">
        <f>IFERROR(IF(VLOOKUP(U73,课程清单!A:Q,16,0)=$S$4,VLOOKUP(U73,课程清单!A:Q,17,0),""),"")</f>
        <v/>
      </c>
      <c r="T73" s="7">
        <v>6</v>
      </c>
      <c r="U73" s="2" t="s">
        <v>356</v>
      </c>
      <c r="V73" s="7">
        <f t="shared" si="57"/>
        <v>58</v>
      </c>
      <c r="W73" s="7">
        <f t="shared" si="58"/>
        <v>3.5</v>
      </c>
      <c r="X73" s="7">
        <f t="shared" si="59"/>
        <v>56</v>
      </c>
      <c r="Y73" s="109">
        <f t="shared" si="60"/>
        <v>0.5</v>
      </c>
      <c r="Z73" s="109">
        <f t="shared" si="61"/>
        <v>8</v>
      </c>
      <c r="AA73" s="109">
        <f t="shared" si="62"/>
        <v>0</v>
      </c>
      <c r="AB73" s="109">
        <f t="shared" si="63"/>
        <v>0</v>
      </c>
    </row>
    <row r="74" spans="1:28" ht="24" customHeight="1" x14ac:dyDescent="0.3">
      <c r="A74" s="188"/>
      <c r="B74" s="188"/>
      <c r="C74" s="186" t="s">
        <v>357</v>
      </c>
      <c r="D74" s="187"/>
      <c r="E74" s="187"/>
      <c r="F74" s="103"/>
      <c r="G74" s="103"/>
      <c r="H74" s="104">
        <f>SUM(H55:H73)</f>
        <v>49.5</v>
      </c>
      <c r="I74" s="104">
        <f>SUM(I55:I73)</f>
        <v>824</v>
      </c>
      <c r="J74" s="104">
        <f>SUM(J55:J73)</f>
        <v>736</v>
      </c>
      <c r="K74" s="105">
        <f>SUM(K55:K73)</f>
        <v>88</v>
      </c>
      <c r="L74" s="106">
        <f>SUMIFS(L55:L73,F55:F73,"必修" )</f>
        <v>8</v>
      </c>
      <c r="M74" s="104">
        <f>SUMIFS(M55:M73,F55:F73,"必修" )</f>
        <v>17</v>
      </c>
      <c r="N74" s="104">
        <f>SUMIFS(N55:N73,F55:F73,"必修" )</f>
        <v>12.5</v>
      </c>
      <c r="O74" s="104">
        <f>SUMIFS(O55:O73,F55:F73,"必修" )</f>
        <v>6.5</v>
      </c>
      <c r="P74" s="104">
        <f>SUMIFS(P55:P73,F55:F73,"必修" )</f>
        <v>6.5</v>
      </c>
      <c r="Q74" s="104">
        <f>SUMIFS(Q55:Q73,F55:F73,"必修" )</f>
        <v>0</v>
      </c>
      <c r="R74" s="104">
        <f>SUMIFS(R55:R73,F55:F73,"必修" )</f>
        <v>0</v>
      </c>
      <c r="S74" s="104">
        <f>SUMIFS(S55:S73,F55:F73,"必修" )</f>
        <v>0</v>
      </c>
      <c r="Y74" s="109"/>
      <c r="Z74" s="109"/>
      <c r="AA74" s="109"/>
      <c r="AB74" s="109"/>
    </row>
    <row r="75" spans="1:28" ht="24" x14ac:dyDescent="0.3">
      <c r="A75" s="188" t="s">
        <v>43</v>
      </c>
      <c r="B75" s="188" t="s">
        <v>431</v>
      </c>
      <c r="C75" s="11">
        <f>IF(E75="","",MAX(C$5:C74)+1)</f>
        <v>59</v>
      </c>
      <c r="D75" s="23" t="str">
        <f>IFERROR(IF(VLOOKUP(U75,课程清单!A:Q,7,0)="","",VLOOKUP(U75,课程清单!A:Q,7,0)),"")</f>
        <v>023004B1</v>
      </c>
      <c r="E75" s="12" t="str">
        <f>IFERROR(VLOOKUP(U75,课程清单!A:Q,8,0)&amp;IF(VLOOKUP(U75,课程清单!A:Q,9,0)="","",CHAR(10)&amp;VLOOKUP(U75,课程清单!A:Q,9,0)),"")</f>
        <v>机械原理
Mechanisms and Machine Theory</v>
      </c>
      <c r="F75" s="11" t="str">
        <f>IFERROR(IF(VLOOKUP(U75,课程清单!A:Q,10,0)="","",VLOOKUP(U75,课程清单!A:Q,10,0)),"")</f>
        <v>必修</v>
      </c>
      <c r="G75" s="11" t="str">
        <f>IFERROR(IF(VLOOKUP(U75,课程清单!A:Q,11,0)="","",VLOOKUP(U75,课程清单!A:Q,11,0)),"")</f>
        <v>考试</v>
      </c>
      <c r="H75" s="11">
        <f>IFERROR(IF(VLOOKUP(U75,课程清单!A:Q,12,0)="","",VLOOKUP(U75,课程清单!A:Q,12,0)),"")</f>
        <v>3</v>
      </c>
      <c r="I75" s="11">
        <f>IFERROR(IF(VLOOKUP(U75,课程清单!A:Q,13,0)="","",VLOOKUP(U75,课程清单!A:Q,13,0)),"")</f>
        <v>48</v>
      </c>
      <c r="J75" s="11">
        <f>IFERROR(IF(VLOOKUP(U75,课程清单!A:Q,14,0)="","",VLOOKUP(U75,课程清单!A:Q,14,0)),"")</f>
        <v>42</v>
      </c>
      <c r="K75" s="28">
        <f>IFERROR(IF(VLOOKUP(U75,课程清单!A:Q,15,0)="","",VLOOKUP(U75,课程清单!A:Q,15,0)),"")</f>
        <v>6</v>
      </c>
      <c r="L75" s="26" t="str">
        <f>IFERROR(IF(VLOOKUP(U75,课程清单!A:Q,16,0)=$L$4,VLOOKUP(U75,课程清单!A:Q,17,0),""),"")</f>
        <v/>
      </c>
      <c r="M75" s="11" t="str">
        <f>IFERROR(IF(VLOOKUP(U75,课程清单!A:Q,16,0)=$M$4,VLOOKUP(U75,课程清单!A:Q,17,0),""),"")</f>
        <v/>
      </c>
      <c r="N75" s="11" t="str">
        <f>IFERROR(IF(VLOOKUP(U75,课程清单!A:Q,16,0)=$N$4,VLOOKUP(U75,课程清单!A:Q,17,0),""),"")</f>
        <v/>
      </c>
      <c r="O75" s="11">
        <f>IFERROR(IF(VLOOKUP(U75,课程清单!A:Q,16,0)=$O$4,VLOOKUP(U75,课程清单!A:Q,17,0),""),"")</f>
        <v>3</v>
      </c>
      <c r="P75" s="11" t="str">
        <f>IFERROR(IF(VLOOKUP(U75,课程清单!A:Q,16,0)=$P$4,VLOOKUP(U75,课程清单!A:Q,17,0),""),"")</f>
        <v/>
      </c>
      <c r="Q75" s="11" t="str">
        <f>IFERROR(IF(VLOOKUP(U75,课程清单!A:Q,16,0)=$Q$4,VLOOKUP(U75,课程清单!A:Q,17,0),""),"")</f>
        <v/>
      </c>
      <c r="R75" s="11" t="str">
        <f>IFERROR(IF(VLOOKUP(U75,课程清单!A:Q,16,0)=$R$4,VLOOKUP(U75,课程清单!A:Q,17,0),""),"")</f>
        <v/>
      </c>
      <c r="S75" s="11" t="str">
        <f>IFERROR(IF(VLOOKUP(U75,课程清单!A:Q,16,0)=$S$4,VLOOKUP(U75,课程清单!A:Q,17,0),""),"")</f>
        <v/>
      </c>
      <c r="T75" s="7">
        <v>1</v>
      </c>
      <c r="U75" s="2" t="s">
        <v>358</v>
      </c>
      <c r="V75" s="7">
        <f>C75</f>
        <v>59</v>
      </c>
      <c r="W75" s="7">
        <f>IF(_xlfn.IFNA(MATCH("+*",L75:S75,0),-1)=-1,H75*IF(J75="",0,J75)/I75,0)</f>
        <v>2.625</v>
      </c>
      <c r="X75" s="7">
        <f>IF(_xlfn.IFNA(MATCH("+*",L75:S75,0),-1)=-1,J75,0)</f>
        <v>42</v>
      </c>
      <c r="Y75" s="109">
        <f>IF(_xlfn.IFNA(MATCH("+*",L75:S75,0),-1)=-1,H75*IF(K75="",0,K75)/I75,0)</f>
        <v>0.375</v>
      </c>
      <c r="Z75" s="109">
        <f>IF(_xlfn.IFNA(MATCH("+*",L75:S75,0),-1)=-1,IF(K75="",0,K75),0)</f>
        <v>6</v>
      </c>
      <c r="AA75" s="109">
        <f>IF(_xlfn.IFNA(MATCH("+*",L75:S75,0),-1)&lt;&gt;-1,H75,0)</f>
        <v>0</v>
      </c>
      <c r="AB75" s="109">
        <f>IF(AA75=0,0,K75)</f>
        <v>0</v>
      </c>
    </row>
    <row r="76" spans="1:28" ht="24" x14ac:dyDescent="0.3">
      <c r="A76" s="188"/>
      <c r="B76" s="188"/>
      <c r="C76" s="11">
        <f>IF(E76="","",MAX(C$5:C75)+1)</f>
        <v>60</v>
      </c>
      <c r="D76" s="23" t="str">
        <f>IFERROR(IF(VLOOKUP(U76,课程清单!A:Q,7,0)="","",VLOOKUP(U76,课程清单!A:Q,7,0)),"")</f>
        <v>023003A1</v>
      </c>
      <c r="E76" s="12" t="str">
        <f>IFERROR(VLOOKUP(U76,课程清单!A:Q,8,0)&amp;IF(VLOOKUP(U76,课程清单!A:Q,9,0)="","",CHAR(10)&amp;VLOOKUP(U76,课程清单!A:Q,9,0)),"")</f>
        <v>机械设计
Machine Design</v>
      </c>
      <c r="F76" s="11" t="str">
        <f>IFERROR(IF(VLOOKUP(U76,课程清单!A:Q,10,0)="","",VLOOKUP(U76,课程清单!A:Q,10,0)),"")</f>
        <v>必修</v>
      </c>
      <c r="G76" s="11" t="str">
        <f>IFERROR(IF(VLOOKUP(U76,课程清单!A:Q,11,0)="","",VLOOKUP(U76,课程清单!A:Q,11,0)),"")</f>
        <v>考试</v>
      </c>
      <c r="H76" s="11">
        <f>IFERROR(IF(VLOOKUP(U76,课程清单!A:Q,12,0)="","",VLOOKUP(U76,课程清单!A:Q,12,0)),"")</f>
        <v>4</v>
      </c>
      <c r="I76" s="11">
        <f>IFERROR(IF(VLOOKUP(U76,课程清单!A:Q,13,0)="","",VLOOKUP(U76,课程清单!A:Q,13,0)),"")</f>
        <v>64</v>
      </c>
      <c r="J76" s="11">
        <f>IFERROR(IF(VLOOKUP(U76,课程清单!A:Q,14,0)="","",VLOOKUP(U76,课程清单!A:Q,14,0)),"")</f>
        <v>58</v>
      </c>
      <c r="K76" s="28">
        <f>IFERROR(IF(VLOOKUP(U76,课程清单!A:Q,15,0)="","",VLOOKUP(U76,课程清单!A:Q,15,0)),"")</f>
        <v>6</v>
      </c>
      <c r="L76" s="26" t="str">
        <f>IFERROR(IF(VLOOKUP(U76,课程清单!A:Q,16,0)=$L$4,VLOOKUP(U76,课程清单!A:Q,17,0),""),"")</f>
        <v/>
      </c>
      <c r="M76" s="11" t="str">
        <f>IFERROR(IF(VLOOKUP(U76,课程清单!A:Q,16,0)=$M$4,VLOOKUP(U76,课程清单!A:Q,17,0),""),"")</f>
        <v/>
      </c>
      <c r="N76" s="11" t="str">
        <f>IFERROR(IF(VLOOKUP(U76,课程清单!A:Q,16,0)=$N$4,VLOOKUP(U76,课程清单!A:Q,17,0),""),"")</f>
        <v/>
      </c>
      <c r="O76" s="11" t="str">
        <f>IFERROR(IF(VLOOKUP(U76,课程清单!A:Q,16,0)=$O$4,VLOOKUP(U76,课程清单!A:Q,17,0),""),"")</f>
        <v/>
      </c>
      <c r="P76" s="11">
        <f>IFERROR(IF(VLOOKUP(U76,课程清单!A:Q,16,0)=$P$4,VLOOKUP(U76,课程清单!A:Q,17,0),""),"")</f>
        <v>4</v>
      </c>
      <c r="Q76" s="11" t="str">
        <f>IFERROR(IF(VLOOKUP(U76,课程清单!A:Q,16,0)=$Q$4,VLOOKUP(U76,课程清单!A:Q,17,0),""),"")</f>
        <v/>
      </c>
      <c r="R76" s="11" t="str">
        <f>IFERROR(IF(VLOOKUP(U76,课程清单!A:Q,16,0)=$R$4,VLOOKUP(U76,课程清单!A:Q,17,0),""),"")</f>
        <v/>
      </c>
      <c r="S76" s="11" t="str">
        <f>IFERROR(IF(VLOOKUP(U76,课程清单!A:Q,16,0)=$S$4,VLOOKUP(U76,课程清单!A:Q,17,0),""),"")</f>
        <v/>
      </c>
      <c r="T76" s="7">
        <v>2</v>
      </c>
      <c r="U76" s="2" t="s">
        <v>359</v>
      </c>
      <c r="V76" s="7">
        <f>C76</f>
        <v>60</v>
      </c>
      <c r="W76" s="7">
        <f>IF(_xlfn.IFNA(MATCH("+*",L76:S76,0),-1)=-1,H76*IF(J76="",0,J76)/I76,0)</f>
        <v>3.625</v>
      </c>
      <c r="X76" s="7">
        <f>IF(_xlfn.IFNA(MATCH("+*",L76:S76,0),-1)=-1,J76,0)</f>
        <v>58</v>
      </c>
      <c r="Y76" s="109">
        <f>IF(_xlfn.IFNA(MATCH("+*",L76:S76,0),-1)=-1,H76*IF(K76="",0,K76)/I76,0)</f>
        <v>0.375</v>
      </c>
      <c r="Z76" s="109">
        <f>IF(_xlfn.IFNA(MATCH("+*",L76:S76,0),-1)=-1,IF(K76="",0,K76),0)</f>
        <v>6</v>
      </c>
      <c r="AA76" s="109">
        <f>IF(_xlfn.IFNA(MATCH("+*",L76:S76,0),-1)&lt;&gt;-1,H76,0)</f>
        <v>0</v>
      </c>
      <c r="AB76" s="109">
        <f>IF(AA76=0,0,K76)</f>
        <v>0</v>
      </c>
    </row>
    <row r="77" spans="1:28" ht="24" x14ac:dyDescent="0.3">
      <c r="A77" s="188"/>
      <c r="B77" s="188"/>
      <c r="C77" s="11">
        <f>IF(E77="","",MAX(C$5:C76)+1)</f>
        <v>61</v>
      </c>
      <c r="D77" s="23" t="str">
        <f>IFERROR(IF(VLOOKUP(U77,课程清单!A:Q,7,0)="","",VLOOKUP(U77,课程清单!A:Q,7,0)),"")</f>
        <v/>
      </c>
      <c r="E77" s="12" t="str">
        <f>IFERROR(VLOOKUP(U77,课程清单!A:Q,8,0)&amp;IF(VLOOKUP(U77,课程清单!A:Q,9,0)="","",CHAR(10)&amp;VLOOKUP(U77,课程清单!A:Q,9,0)),"")</f>
        <v>航空航天概论
Introduction to Aerospace</v>
      </c>
      <c r="F77" s="11" t="str">
        <f>IFERROR(IF(VLOOKUP(U77,课程清单!A:Q,10,0)="","",VLOOKUP(U77,课程清单!A:Q,10,0)),"")</f>
        <v>必修</v>
      </c>
      <c r="G77" s="11" t="str">
        <f>IFERROR(IF(VLOOKUP(U77,课程清单!A:Q,11,0)="","",VLOOKUP(U77,课程清单!A:Q,11,0)),"")</f>
        <v>考试</v>
      </c>
      <c r="H77" s="11">
        <f>IFERROR(IF(VLOOKUP(U77,课程清单!A:Q,12,0)="","",VLOOKUP(U77,课程清单!A:Q,12,0)),"")</f>
        <v>2</v>
      </c>
      <c r="I77" s="11">
        <f>IFERROR(IF(VLOOKUP(U77,课程清单!A:Q,13,0)="","",VLOOKUP(U77,课程清单!A:Q,13,0)),"")</f>
        <v>32</v>
      </c>
      <c r="J77" s="11">
        <f>IFERROR(IF(VLOOKUP(U77,课程清单!A:Q,14,0)="","",VLOOKUP(U77,课程清单!A:Q,14,0)),"")</f>
        <v>0</v>
      </c>
      <c r="K77" s="28">
        <f>IFERROR(IF(VLOOKUP(U77,课程清单!A:Q,15,0)="","",VLOOKUP(U77,课程清单!A:Q,15,0)),"")</f>
        <v>32</v>
      </c>
      <c r="L77" s="26" t="str">
        <f>IFERROR(IF(VLOOKUP(U77,课程清单!A:Q,16,0)=$L$4,VLOOKUP(U77,课程清单!A:Q,17,0),""),"")</f>
        <v/>
      </c>
      <c r="M77" s="11" t="str">
        <f>IFERROR(IF(VLOOKUP(U77,课程清单!A:Q,16,0)=$M$4,VLOOKUP(U77,课程清单!A:Q,17,0),""),"")</f>
        <v/>
      </c>
      <c r="N77" s="11" t="str">
        <f>IFERROR(IF(VLOOKUP(U77,课程清单!A:Q,16,0)=$N$4,VLOOKUP(U77,课程清单!A:Q,17,0),""),"")</f>
        <v/>
      </c>
      <c r="O77" s="11">
        <f>IFERROR(IF(VLOOKUP(U77,课程清单!A:Q,16,0)=$O$4,VLOOKUP(U77,课程清单!A:Q,17,0),""),"")</f>
        <v>2</v>
      </c>
      <c r="P77" s="11" t="str">
        <f>IFERROR(IF(VLOOKUP(U77,课程清单!A:Q,16,0)=$P$4,VLOOKUP(U77,课程清单!A:Q,17,0),""),"")</f>
        <v/>
      </c>
      <c r="Q77" s="11" t="str">
        <f>IFERROR(IF(VLOOKUP(U77,课程清单!A:Q,16,0)=$Q$4,VLOOKUP(U77,课程清单!A:Q,17,0),""),"")</f>
        <v/>
      </c>
      <c r="R77" s="11" t="str">
        <f>IFERROR(IF(VLOOKUP(U77,课程清单!A:Q,16,0)=$R$4,VLOOKUP(U77,课程清单!A:Q,17,0),""),"")</f>
        <v/>
      </c>
      <c r="S77" s="11" t="str">
        <f>IFERROR(IF(VLOOKUP(U77,课程清单!A:Q,16,0)=$S$4,VLOOKUP(U77,课程清单!A:Q,17,0),""),"")</f>
        <v/>
      </c>
      <c r="T77" s="7">
        <v>3</v>
      </c>
      <c r="U77" s="2" t="s">
        <v>360</v>
      </c>
      <c r="V77" s="7">
        <f>C77</f>
        <v>61</v>
      </c>
      <c r="W77" s="7">
        <f>IF(_xlfn.IFNA(MATCH("+*",L77:S77,0),-1)=-1,H77*IF(J77="",0,J77)/I77,0)</f>
        <v>0</v>
      </c>
      <c r="X77" s="7">
        <f>IF(_xlfn.IFNA(MATCH("+*",L77:S77,0),-1)=-1,J77,0)</f>
        <v>0</v>
      </c>
      <c r="Y77" s="109">
        <f>IF(_xlfn.IFNA(MATCH("+*",L77:S77,0),-1)=-1,H77*IF(K77="",0,K77)/I77,0)</f>
        <v>2</v>
      </c>
      <c r="Z77" s="109">
        <f>IF(_xlfn.IFNA(MATCH("+*",L77:S77,0),-1)=-1,IF(K77="",0,K77),0)</f>
        <v>32</v>
      </c>
      <c r="AA77" s="109">
        <f>IF(_xlfn.IFNA(MATCH("+*",L77:S77,0),-1)&lt;&gt;-1,H77,0)</f>
        <v>0</v>
      </c>
      <c r="AB77" s="109">
        <f>IF(AA77=0,0,K77)</f>
        <v>0</v>
      </c>
    </row>
    <row r="78" spans="1:28" ht="24" customHeight="1" x14ac:dyDescent="0.3">
      <c r="A78" s="188"/>
      <c r="B78" s="188"/>
      <c r="C78" s="11"/>
      <c r="D78" s="23"/>
      <c r="E78" s="30" t="s">
        <v>361</v>
      </c>
      <c r="F78" s="11"/>
      <c r="G78" s="11"/>
      <c r="H78" s="18">
        <f>SUM(H75:H77)</f>
        <v>9</v>
      </c>
      <c r="I78" s="18">
        <f>SUM(I75:I77)</f>
        <v>144</v>
      </c>
      <c r="J78" s="18">
        <f>SUM(J75:J77)</f>
        <v>100</v>
      </c>
      <c r="K78" s="21">
        <f>SUM(K75:K77)</f>
        <v>44</v>
      </c>
      <c r="L78" s="26"/>
      <c r="M78" s="11"/>
      <c r="N78" s="11"/>
      <c r="O78" s="11"/>
      <c r="P78" s="11"/>
      <c r="Q78" s="11"/>
      <c r="R78" s="11"/>
      <c r="S78" s="11"/>
      <c r="Y78" s="109"/>
      <c r="Z78" s="109"/>
      <c r="AA78" s="109"/>
      <c r="AB78" s="109"/>
    </row>
    <row r="79" spans="1:28" ht="24" x14ac:dyDescent="0.3">
      <c r="A79" s="188"/>
      <c r="B79" s="188"/>
      <c r="C79" s="11">
        <f>IF(E79="","",MAX(C$5:C78)+1)</f>
        <v>62</v>
      </c>
      <c r="D79" s="23" t="str">
        <f>IFERROR(IF(VLOOKUP(U79,课程清单!A:Q,7,0)="","",VLOOKUP(U79,课程清单!A:Q,7,0)),"")</f>
        <v>023104B1</v>
      </c>
      <c r="E79" s="12" t="str">
        <f>IFERROR(VLOOKUP(U79,课程清单!A:Q,8,0)&amp;IF(VLOOKUP(U79,课程清单!A:Q,9,0)="","",CHAR(10)&amp;VLOOKUP(U79,课程清单!A:Q,9,0)),"")</f>
        <v>机械制造技术
Mechanical Manufacturing Technology</v>
      </c>
      <c r="F79" s="11" t="str">
        <f>IFERROR(IF(VLOOKUP(U79,课程清单!A:Q,10,0)="","",VLOOKUP(U79,课程清单!A:Q,10,0)),"")</f>
        <v>必修</v>
      </c>
      <c r="G79" s="11" t="str">
        <f>IFERROR(IF(VLOOKUP(U79,课程清单!A:Q,11,0)="","",VLOOKUP(U79,课程清单!A:Q,11,0)),"")</f>
        <v>考试</v>
      </c>
      <c r="H79" s="11">
        <f>IFERROR(IF(VLOOKUP(U79,课程清单!A:Q,12,0)="","",VLOOKUP(U79,课程清单!A:Q,12,0)),"")</f>
        <v>3</v>
      </c>
      <c r="I79" s="11">
        <f>IFERROR(IF(VLOOKUP(U79,课程清单!A:Q,13,0)="","",VLOOKUP(U79,课程清单!A:Q,13,0)),"")</f>
        <v>48</v>
      </c>
      <c r="J79" s="11">
        <f>IFERROR(IF(VLOOKUP(U79,课程清单!A:Q,14,0)="","",VLOOKUP(U79,课程清单!A:Q,14,0)),"")</f>
        <v>44</v>
      </c>
      <c r="K79" s="28">
        <f>IFERROR(IF(VLOOKUP(U79,课程清单!A:Q,15,0)="","",VLOOKUP(U79,课程清单!A:Q,15,0)),"")</f>
        <v>4</v>
      </c>
      <c r="L79" s="26" t="str">
        <f>IFERROR(IF(VLOOKUP(U79,课程清单!A:Q,16,0)=$L$4,VLOOKUP(U79,课程清单!A:Q,17,0),""),"")</f>
        <v/>
      </c>
      <c r="M79" s="11" t="str">
        <f>IFERROR(IF(VLOOKUP(U79,课程清单!A:Q,16,0)=$M$4,VLOOKUP(U79,课程清单!A:Q,17,0),""),"")</f>
        <v/>
      </c>
      <c r="N79" s="11" t="str">
        <f>IFERROR(IF(VLOOKUP(U79,课程清单!A:Q,16,0)=$N$4,VLOOKUP(U79,课程清单!A:Q,17,0),""),"")</f>
        <v/>
      </c>
      <c r="O79" s="11" t="str">
        <f>IFERROR(IF(VLOOKUP(U79,课程清单!A:Q,16,0)=$O$4,VLOOKUP(U79,课程清单!A:Q,17,0),""),"")</f>
        <v/>
      </c>
      <c r="P79" s="11" t="str">
        <f>IFERROR(IF(VLOOKUP(U79,课程清单!A:Q,16,0)=$P$4,VLOOKUP(U79,课程清单!A:Q,17,0),""),"")</f>
        <v/>
      </c>
      <c r="Q79" s="11">
        <f>IFERROR(IF(VLOOKUP(U79,课程清单!A:Q,16,0)=$Q$4,VLOOKUP(U79,课程清单!A:Q,17,0),""),"")</f>
        <v>3</v>
      </c>
      <c r="R79" s="11" t="str">
        <f>IFERROR(IF(VLOOKUP(U79,课程清单!A:Q,16,0)=$R$4,VLOOKUP(U79,课程清单!A:Q,17,0),""),"")</f>
        <v/>
      </c>
      <c r="S79" s="11" t="str">
        <f>IFERROR(IF(VLOOKUP(U79,课程清单!A:Q,16,0)=$S$4,VLOOKUP(U79,课程清单!A:Q,17,0),""),"")</f>
        <v/>
      </c>
      <c r="T79" s="7">
        <v>1</v>
      </c>
      <c r="U79" s="2" t="s">
        <v>362</v>
      </c>
      <c r="V79" s="7">
        <f>C79</f>
        <v>62</v>
      </c>
      <c r="Y79" s="109"/>
      <c r="Z79" s="109"/>
      <c r="AA79" s="109"/>
      <c r="AB79" s="109"/>
    </row>
    <row r="80" spans="1:28" ht="24" x14ac:dyDescent="0.3">
      <c r="A80" s="188"/>
      <c r="B80" s="188"/>
      <c r="C80" s="11">
        <f>IF(E80="","",MAX(C$5:C79)+1)</f>
        <v>63</v>
      </c>
      <c r="D80" s="23" t="str">
        <f>IFERROR(IF(VLOOKUP(U80,课程清单!A:Q,7,0)="","",VLOOKUP(U80,课程清单!A:Q,7,0)),"")</f>
        <v/>
      </c>
      <c r="E80" s="12" t="str">
        <f>IFERROR(VLOOKUP(U80,课程清单!A:Q,8,0)&amp;IF(VLOOKUP(U80,课程清单!A:Q,9,0)="","",CHAR(10)&amp;VLOOKUP(U80,课程清单!A:Q,9,0)),"")</f>
        <v>CATIA基础及工程应用
CATIA Fundamentals and Engineering Applications</v>
      </c>
      <c r="F80" s="11" t="str">
        <f>IFERROR(IF(VLOOKUP(U80,课程清单!A:Q,10,0)="","",VLOOKUP(U80,课程清单!A:Q,10,0)),"")</f>
        <v>选修</v>
      </c>
      <c r="G80" s="11" t="str">
        <f>IFERROR(IF(VLOOKUP(U80,课程清单!A:Q,11,0)="","",VLOOKUP(U80,课程清单!A:Q,11,0)),"")</f>
        <v>考查</v>
      </c>
      <c r="H80" s="11">
        <f>IFERROR(IF(VLOOKUP(U80,课程清单!A:Q,12,0)="","",VLOOKUP(U80,课程清单!A:Q,12,0)),"")</f>
        <v>2</v>
      </c>
      <c r="I80" s="11">
        <f>IFERROR(IF(VLOOKUP(U80,课程清单!A:Q,13,0)="","",VLOOKUP(U80,课程清单!A:Q,13,0)),"")</f>
        <v>32</v>
      </c>
      <c r="J80" s="11">
        <f>IFERROR(IF(VLOOKUP(U80,课程清单!A:Q,14,0)="","",VLOOKUP(U80,课程清单!A:Q,14,0)),"")</f>
        <v>32</v>
      </c>
      <c r="K80" s="28">
        <f>IFERROR(IF(VLOOKUP(U80,课程清单!A:Q,15,0)="","",VLOOKUP(U80,课程清单!A:Q,15,0)),"")</f>
        <v>0</v>
      </c>
      <c r="L80" s="26" t="str">
        <f>IFERROR(IF(VLOOKUP(U80,课程清单!A:Q,16,0)=$L$4,VLOOKUP(U80,课程清单!A:Q,17,0),""),"")</f>
        <v/>
      </c>
      <c r="M80" s="11">
        <f>IFERROR(IF(VLOOKUP(U80,课程清单!A:Q,16,0)=$M$4,VLOOKUP(U80,课程清单!A:Q,17,0),""),"")</f>
        <v>2</v>
      </c>
      <c r="N80" s="11" t="str">
        <f>IFERROR(IF(VLOOKUP(U80,课程清单!A:Q,16,0)=$N$4,VLOOKUP(U80,课程清单!A:Q,17,0),""),"")</f>
        <v/>
      </c>
      <c r="O80" s="11" t="str">
        <f>IFERROR(IF(VLOOKUP(U80,课程清单!A:Q,16,0)=$O$4,VLOOKUP(U80,课程清单!A:Q,17,0),""),"")</f>
        <v/>
      </c>
      <c r="P80" s="11" t="str">
        <f>IFERROR(IF(VLOOKUP(U80,课程清单!A:Q,16,0)=$P$4,VLOOKUP(U80,课程清单!A:Q,17,0),""),"")</f>
        <v/>
      </c>
      <c r="Q80" s="11" t="str">
        <f>IFERROR(IF(VLOOKUP(U80,课程清单!A:Q,16,0)=$Q$4,VLOOKUP(U80,课程清单!A:Q,17,0),""),"")</f>
        <v/>
      </c>
      <c r="R80" s="11" t="str">
        <f>IFERROR(IF(VLOOKUP(U80,课程清单!A:Q,16,0)=$R$4,VLOOKUP(U80,课程清单!A:Q,17,0),""),"")</f>
        <v/>
      </c>
      <c r="S80" s="11" t="str">
        <f>IFERROR(IF(VLOOKUP(U80,课程清单!A:Q,16,0)=$S$4,VLOOKUP(U80,课程清单!A:Q,17,0),""),"")</f>
        <v/>
      </c>
      <c r="T80" s="7">
        <v>2</v>
      </c>
      <c r="U80" s="2" t="s">
        <v>363</v>
      </c>
      <c r="V80" s="7">
        <f>C80</f>
        <v>63</v>
      </c>
      <c r="Y80" s="109"/>
      <c r="Z80" s="109"/>
      <c r="AA80" s="109"/>
      <c r="AB80" s="109"/>
    </row>
    <row r="81" spans="1:28" ht="36" x14ac:dyDescent="0.3">
      <c r="A81" s="188"/>
      <c r="B81" s="188"/>
      <c r="C81" s="11">
        <f>IF(E81="","",MAX(C$5:C80)+1)</f>
        <v>64</v>
      </c>
      <c r="D81" s="23" t="str">
        <f>IFERROR(IF(VLOOKUP(U81,课程清单!A:Q,7,0)="","",VLOOKUP(U81,课程清单!A:Q,7,0)),"")</f>
        <v>023440A1</v>
      </c>
      <c r="E81" s="12" t="str">
        <f>IFERROR(VLOOKUP(U81,课程清单!A:Q,8,0)&amp;IF(VLOOKUP(U81,课程清单!A:Q,9,0)="","",CHAR(10)&amp;VLOOKUP(U81,课程清单!A:Q,9,0)),"")</f>
        <v>流体力学与液压气压传动
Fluid Mechanics and Hydraulic &amp; Pneumatic Transmission</v>
      </c>
      <c r="F81" s="11" t="str">
        <f>IFERROR(IF(VLOOKUP(U81,课程清单!A:Q,10,0)="","",VLOOKUP(U81,课程清单!A:Q,10,0)),"")</f>
        <v>选修</v>
      </c>
      <c r="G81" s="11" t="str">
        <f>IFERROR(IF(VLOOKUP(U81,课程清单!A:Q,11,0)="","",VLOOKUP(U81,课程清单!A:Q,11,0)),"")</f>
        <v>考试</v>
      </c>
      <c r="H81" s="11">
        <f>IFERROR(IF(VLOOKUP(U81,课程清单!A:Q,12,0)="","",VLOOKUP(U81,课程清单!A:Q,12,0)),"")</f>
        <v>2</v>
      </c>
      <c r="I81" s="11">
        <f>IFERROR(IF(VLOOKUP(U81,课程清单!A:Q,13,0)="","",VLOOKUP(U81,课程清单!A:Q,13,0)),"")</f>
        <v>32</v>
      </c>
      <c r="J81" s="11">
        <f>IFERROR(IF(VLOOKUP(U81,课程清单!A:Q,14,0)="","",VLOOKUP(U81,课程清单!A:Q,14,0)),"")</f>
        <v>26</v>
      </c>
      <c r="K81" s="28">
        <f>IFERROR(IF(VLOOKUP(U81,课程清单!A:Q,15,0)="","",VLOOKUP(U81,课程清单!A:Q,15,0)),"")</f>
        <v>6</v>
      </c>
      <c r="L81" s="26" t="str">
        <f>IFERROR(IF(VLOOKUP(U81,课程清单!A:Q,16,0)=$L$4,VLOOKUP(U81,课程清单!A:Q,17,0),""),"")</f>
        <v/>
      </c>
      <c r="M81" s="11" t="str">
        <f>IFERROR(IF(VLOOKUP(U81,课程清单!A:Q,16,0)=$M$4,VLOOKUP(U81,课程清单!A:Q,17,0),""),"")</f>
        <v/>
      </c>
      <c r="N81" s="11" t="str">
        <f>IFERROR(IF(VLOOKUP(U81,课程清单!A:Q,16,0)=$N$4,VLOOKUP(U81,课程清单!A:Q,17,0),""),"")</f>
        <v/>
      </c>
      <c r="O81" s="11" t="str">
        <f>IFERROR(IF(VLOOKUP(U81,课程清单!A:Q,16,0)=$O$4,VLOOKUP(U81,课程清单!A:Q,17,0),""),"")</f>
        <v/>
      </c>
      <c r="P81" s="11">
        <f>IFERROR(IF(VLOOKUP(U81,课程清单!A:Q,16,0)=$P$4,VLOOKUP(U81,课程清单!A:Q,17,0),""),"")</f>
        <v>2</v>
      </c>
      <c r="Q81" s="11" t="str">
        <f>IFERROR(IF(VLOOKUP(U81,课程清单!A:Q,16,0)=$Q$4,VLOOKUP(U81,课程清单!A:Q,17,0),""),"")</f>
        <v/>
      </c>
      <c r="R81" s="11" t="str">
        <f>IFERROR(IF(VLOOKUP(U81,课程清单!A:Q,16,0)=$R$4,VLOOKUP(U81,课程清单!A:Q,17,0),""),"")</f>
        <v/>
      </c>
      <c r="S81" s="11" t="str">
        <f>IFERROR(IF(VLOOKUP(U81,课程清单!A:Q,16,0)=$S$4,VLOOKUP(U81,课程清单!A:Q,17,0),""),"")</f>
        <v/>
      </c>
      <c r="T81" s="7">
        <v>3</v>
      </c>
      <c r="U81" s="2" t="s">
        <v>364</v>
      </c>
      <c r="V81" s="7">
        <f>C81</f>
        <v>64</v>
      </c>
      <c r="Y81" s="109"/>
      <c r="Z81" s="109"/>
      <c r="AA81" s="109"/>
      <c r="AB81" s="109"/>
    </row>
    <row r="82" spans="1:28" ht="24" customHeight="1" x14ac:dyDescent="0.3">
      <c r="A82" s="188"/>
      <c r="B82" s="188"/>
      <c r="C82" s="186" t="s">
        <v>420</v>
      </c>
      <c r="D82" s="187"/>
      <c r="E82" s="187"/>
      <c r="F82" s="187"/>
      <c r="G82" s="187"/>
      <c r="H82" s="104">
        <f>SUM(H78 )</f>
        <v>9</v>
      </c>
      <c r="I82" s="104">
        <f>SUM(I78 )</f>
        <v>144</v>
      </c>
      <c r="J82" s="104">
        <f>SUM(J78 )</f>
        <v>100</v>
      </c>
      <c r="K82" s="105">
        <f>SUM(K78 )</f>
        <v>44</v>
      </c>
      <c r="L82" s="106">
        <f>SUMIFS(L75:L81,F75:F81,"必修" )</f>
        <v>0</v>
      </c>
      <c r="M82" s="104">
        <f>SUMIFS(M75:M81,F75:F81,"必修" )</f>
        <v>0</v>
      </c>
      <c r="N82" s="104">
        <f>SUMIFS(N75:N81,F75:F81,"必修" )</f>
        <v>0</v>
      </c>
      <c r="O82" s="104">
        <f>SUMIFS(O75:O81,F75:F81,"必修" )</f>
        <v>5</v>
      </c>
      <c r="P82" s="104">
        <f>SUMIFS(P75:P81,F75:F81,"必修" )</f>
        <v>4</v>
      </c>
      <c r="Q82" s="104">
        <f>SUMIFS(Q75:Q81,F75:F81,"必修" )</f>
        <v>3</v>
      </c>
      <c r="R82" s="104">
        <f>SUMIFS(R75:R81,F75:F81,"必修" )</f>
        <v>0</v>
      </c>
      <c r="S82" s="104">
        <f>SUMIFS(S75:S81,F75:F81,"必修" )</f>
        <v>0</v>
      </c>
      <c r="Y82" s="109"/>
      <c r="Z82" s="109"/>
      <c r="AA82" s="109"/>
      <c r="AB82" s="109"/>
    </row>
    <row r="83" spans="1:28" ht="24" x14ac:dyDescent="0.3">
      <c r="A83" s="188" t="s">
        <v>43</v>
      </c>
      <c r="B83" s="188" t="s">
        <v>32</v>
      </c>
      <c r="C83" s="11">
        <f>IF(E83="","",MAX(C$5:C82)+1)</f>
        <v>65</v>
      </c>
      <c r="D83" s="23" t="str">
        <f>IFERROR(IF(VLOOKUP(U83,课程清单!A:Q,7,0)="","",VLOOKUP(U83,课程清单!A:Q,7,0)),"")</f>
        <v/>
      </c>
      <c r="E83" s="12" t="str">
        <f>IFERROR(VLOOKUP(U83,课程清单!A:Q,8,0)&amp;IF(VLOOKUP(U83,课程清单!A:Q,9,0)="","",CHAR(10)&amp;VLOOKUP(U83,课程清单!A:Q,9,0)),"")</f>
        <v>专业导论
Introduction to Professional</v>
      </c>
      <c r="F83" s="11" t="str">
        <f>IFERROR(IF(VLOOKUP(U83,课程清单!A:Q,10,0)="","",VLOOKUP(U83,课程清单!A:Q,10,0)),"")</f>
        <v>必修</v>
      </c>
      <c r="G83" s="11" t="str">
        <f>IFERROR(IF(VLOOKUP(U83,课程清单!A:Q,11,0)="","",VLOOKUP(U83,课程清单!A:Q,11,0)),"")</f>
        <v>考查</v>
      </c>
      <c r="H83" s="11">
        <f>IFERROR(IF(VLOOKUP(U83,课程清单!A:Q,12,0)="","",VLOOKUP(U83,课程清单!A:Q,12,0)),"")</f>
        <v>1</v>
      </c>
      <c r="I83" s="11">
        <f>IFERROR(IF(VLOOKUP(U83,课程清单!A:Q,13,0)="","",VLOOKUP(U83,课程清单!A:Q,13,0)),"")</f>
        <v>16</v>
      </c>
      <c r="J83" s="11">
        <f>IFERROR(IF(VLOOKUP(U83,课程清单!A:Q,14,0)="","",VLOOKUP(U83,课程清单!A:Q,14,0)),"")</f>
        <v>16</v>
      </c>
      <c r="K83" s="28">
        <f>IFERROR(IF(VLOOKUP(U83,课程清单!A:Q,15,0)="","",VLOOKUP(U83,课程清单!A:Q,15,0)),"")</f>
        <v>0</v>
      </c>
      <c r="L83" s="26">
        <f>IFERROR(IF(VLOOKUP(U83,课程清单!A:Q,16,0)=$L$4,VLOOKUP(U83,课程清单!A:Q,17,0),""),"")</f>
        <v>1</v>
      </c>
      <c r="M83" s="11" t="str">
        <f>IFERROR(IF(VLOOKUP(U83,课程清单!A:Q,16,0)=$M$4,VLOOKUP(U83,课程清单!A:Q,17,0),""),"")</f>
        <v/>
      </c>
      <c r="N83" s="11" t="str">
        <f>IFERROR(IF(VLOOKUP(U83,课程清单!A:Q,16,0)=$N$4,VLOOKUP(U83,课程清单!A:Q,17,0),""),"")</f>
        <v/>
      </c>
      <c r="O83" s="11" t="str">
        <f>IFERROR(IF(VLOOKUP(U83,课程清单!A:Q,16,0)=$O$4,VLOOKUP(U83,课程清单!A:Q,17,0),""),"")</f>
        <v/>
      </c>
      <c r="P83" s="11" t="str">
        <f>IFERROR(IF(VLOOKUP(U83,课程清单!A:Q,16,0)=$P$4,VLOOKUP(U83,课程清单!A:Q,17,0),""),"")</f>
        <v/>
      </c>
      <c r="Q83" s="11" t="str">
        <f>IFERROR(IF(VLOOKUP(U83,课程清单!A:Q,16,0)=$Q$4,VLOOKUP(U83,课程清单!A:Q,17,0),""),"")</f>
        <v/>
      </c>
      <c r="R83" s="11" t="str">
        <f>IFERROR(IF(VLOOKUP(U83,课程清单!A:Q,16,0)=$R$4,VLOOKUP(U83,课程清单!A:Q,17,0),""),"")</f>
        <v/>
      </c>
      <c r="S83" s="11" t="str">
        <f>IFERROR(IF(VLOOKUP(U83,课程清单!A:Q,16,0)=$S$4,VLOOKUP(U83,课程清单!A:Q,17,0),""),"")</f>
        <v/>
      </c>
      <c r="T83" s="7">
        <v>1</v>
      </c>
      <c r="U83" s="2" t="s">
        <v>365</v>
      </c>
      <c r="V83" s="7">
        <f t="shared" ref="V83:V89" si="64">C83</f>
        <v>65</v>
      </c>
      <c r="W83" s="7">
        <f t="shared" ref="W83:W89" si="65">IF(_xlfn.IFNA(MATCH("+*",L83:S83,0),-1)=-1,H83*IF(J83="",0,J83)/I83,0)</f>
        <v>1</v>
      </c>
      <c r="X83" s="7">
        <f t="shared" ref="X83:X89" si="66">IF(_xlfn.IFNA(MATCH("+*",L83:S83,0),-1)=-1,J83,0)</f>
        <v>16</v>
      </c>
      <c r="Y83" s="109">
        <f t="shared" ref="Y83:Y89" si="67">IF(_xlfn.IFNA(MATCH("+*",L83:S83,0),-1)=-1,H83*IF(K83="",0,K83)/I83,0)</f>
        <v>0</v>
      </c>
      <c r="Z83" s="109">
        <f t="shared" ref="Z83:Z89" si="68">IF(_xlfn.IFNA(MATCH("+*",L83:S83,0),-1)=-1,IF(K83="",0,K83),0)</f>
        <v>0</v>
      </c>
      <c r="AA83" s="109">
        <f t="shared" ref="AA83:AA89" si="69">IF(_xlfn.IFNA(MATCH("+*",L83:S83,0),-1)&lt;&gt;-1,H83,0)</f>
        <v>0</v>
      </c>
      <c r="AB83" s="109">
        <f t="shared" ref="AB83:AB89" si="70">IF(AA83=0,0,K83)</f>
        <v>0</v>
      </c>
    </row>
    <row r="84" spans="1:28" ht="24" x14ac:dyDescent="0.3">
      <c r="A84" s="188"/>
      <c r="B84" s="188"/>
      <c r="C84" s="11">
        <f>IF(E84="","",MAX(C$5:C83)+1)</f>
        <v>66</v>
      </c>
      <c r="D84" s="23" t="str">
        <f>IFERROR(IF(VLOOKUP(U84,课程清单!A:Q,7,0)="","",VLOOKUP(U84,课程清单!A:Q,7,0)),"")</f>
        <v>023106B1</v>
      </c>
      <c r="E84" s="12" t="str">
        <f>IFERROR(VLOOKUP(U84,课程清单!A:Q,8,0)&amp;IF(VLOOKUP(U84,课程清单!A:Q,9,0)="","",CHAR(10)&amp;VLOOKUP(U84,课程清单!A:Q,9,0)),"")</f>
        <v>数控技术
Numerical Control</v>
      </c>
      <c r="F84" s="11" t="str">
        <f>IFERROR(IF(VLOOKUP(U84,课程清单!A:Q,10,0)="","",VLOOKUP(U84,课程清单!A:Q,10,0)),"")</f>
        <v>必修</v>
      </c>
      <c r="G84" s="11" t="str">
        <f>IFERROR(IF(VLOOKUP(U84,课程清单!A:Q,11,0)="","",VLOOKUP(U84,课程清单!A:Q,11,0)),"")</f>
        <v>考试</v>
      </c>
      <c r="H84" s="11">
        <f>IFERROR(IF(VLOOKUP(U84,课程清单!A:Q,12,0)="","",VLOOKUP(U84,课程清单!A:Q,12,0)),"")</f>
        <v>2</v>
      </c>
      <c r="I84" s="11">
        <f>IFERROR(IF(VLOOKUP(U84,课程清单!A:Q,13,0)="","",VLOOKUP(U84,课程清单!A:Q,13,0)),"")</f>
        <v>32</v>
      </c>
      <c r="J84" s="11">
        <f>IFERROR(IF(VLOOKUP(U84,课程清单!A:Q,14,0)="","",VLOOKUP(U84,课程清单!A:Q,14,0)),"")</f>
        <v>28</v>
      </c>
      <c r="K84" s="28">
        <f>IFERROR(IF(VLOOKUP(U84,课程清单!A:Q,15,0)="","",VLOOKUP(U84,课程清单!A:Q,15,0)),"")</f>
        <v>4</v>
      </c>
      <c r="L84" s="26" t="str">
        <f>IFERROR(IF(VLOOKUP(U84,课程清单!A:Q,16,0)=$L$4,VLOOKUP(U84,课程清单!A:Q,17,0),""),"")</f>
        <v/>
      </c>
      <c r="M84" s="11" t="str">
        <f>IFERROR(IF(VLOOKUP(U84,课程清单!A:Q,16,0)=$M$4,VLOOKUP(U84,课程清单!A:Q,17,0),""),"")</f>
        <v/>
      </c>
      <c r="N84" s="11" t="str">
        <f>IFERROR(IF(VLOOKUP(U84,课程清单!A:Q,16,0)=$N$4,VLOOKUP(U84,课程清单!A:Q,17,0),""),"")</f>
        <v/>
      </c>
      <c r="O84" s="11">
        <f>IFERROR(IF(VLOOKUP(U84,课程清单!A:Q,16,0)=$O$4,VLOOKUP(U84,课程清单!A:Q,17,0),""),"")</f>
        <v>2</v>
      </c>
      <c r="P84" s="11" t="str">
        <f>IFERROR(IF(VLOOKUP(U84,课程清单!A:Q,16,0)=$P$4,VLOOKUP(U84,课程清单!A:Q,17,0),""),"")</f>
        <v/>
      </c>
      <c r="Q84" s="11" t="str">
        <f>IFERROR(IF(VLOOKUP(U84,课程清单!A:Q,16,0)=$Q$4,VLOOKUP(U84,课程清单!A:Q,17,0),""),"")</f>
        <v/>
      </c>
      <c r="R84" s="11" t="str">
        <f>IFERROR(IF(VLOOKUP(U84,课程清单!A:Q,16,0)=$R$4,VLOOKUP(U84,课程清单!A:Q,17,0),""),"")</f>
        <v/>
      </c>
      <c r="S84" s="11" t="str">
        <f>IFERROR(IF(VLOOKUP(U84,课程清单!A:Q,16,0)=$S$4,VLOOKUP(U84,课程清单!A:Q,17,0),""),"")</f>
        <v/>
      </c>
      <c r="T84" s="7">
        <v>2</v>
      </c>
      <c r="U84" s="2" t="s">
        <v>366</v>
      </c>
      <c r="V84" s="7">
        <f t="shared" si="64"/>
        <v>66</v>
      </c>
      <c r="W84" s="7">
        <f t="shared" si="65"/>
        <v>1.75</v>
      </c>
      <c r="X84" s="7">
        <f t="shared" si="66"/>
        <v>28</v>
      </c>
      <c r="Y84" s="109">
        <f t="shared" si="67"/>
        <v>0.25</v>
      </c>
      <c r="Z84" s="109">
        <f t="shared" si="68"/>
        <v>4</v>
      </c>
      <c r="AA84" s="109">
        <f t="shared" si="69"/>
        <v>0</v>
      </c>
      <c r="AB84" s="109">
        <f t="shared" si="70"/>
        <v>0</v>
      </c>
    </row>
    <row r="85" spans="1:28" ht="36" x14ac:dyDescent="0.3">
      <c r="A85" s="188"/>
      <c r="B85" s="188"/>
      <c r="C85" s="11">
        <f>IF(E85="","",MAX(C$5:C84)+1)</f>
        <v>67</v>
      </c>
      <c r="D85" s="23" t="str">
        <f>IFERROR(IF(VLOOKUP(U85,课程清单!A:Q,7,0)="","",VLOOKUP(U85,课程清单!A:Q,7,0)),"")</f>
        <v/>
      </c>
      <c r="E85" s="12" t="str">
        <f>IFERROR(VLOOKUP(U85,课程清单!A:Q,8,0)&amp;IF(VLOOKUP(U85,课程清单!A:Q,9,0)="","",CHAR(10)&amp;VLOOKUP(U85,课程清单!A:Q,9,0)),"")</f>
        <v>飞行器零件加工与成型工艺
Theory and Technology of Aircraft Digital Manufacturing</v>
      </c>
      <c r="F85" s="11" t="str">
        <f>IFERROR(IF(VLOOKUP(U85,课程清单!A:Q,10,0)="","",VLOOKUP(U85,课程清单!A:Q,10,0)),"")</f>
        <v>必修</v>
      </c>
      <c r="G85" s="11" t="str">
        <f>IFERROR(IF(VLOOKUP(U85,课程清单!A:Q,11,0)="","",VLOOKUP(U85,课程清单!A:Q,11,0)),"")</f>
        <v>考试</v>
      </c>
      <c r="H85" s="11">
        <f>IFERROR(IF(VLOOKUP(U85,课程清单!A:Q,12,0)="","",VLOOKUP(U85,课程清单!A:Q,12,0)),"")</f>
        <v>2</v>
      </c>
      <c r="I85" s="11">
        <f>IFERROR(IF(VLOOKUP(U85,课程清单!A:Q,13,0)="","",VLOOKUP(U85,课程清单!A:Q,13,0)),"")</f>
        <v>32</v>
      </c>
      <c r="J85" s="11">
        <f>IFERROR(IF(VLOOKUP(U85,课程清单!A:Q,14,0)="","",VLOOKUP(U85,课程清单!A:Q,14,0)),"")</f>
        <v>32</v>
      </c>
      <c r="K85" s="28">
        <f>IFERROR(IF(VLOOKUP(U85,课程清单!A:Q,15,0)="","",VLOOKUP(U85,课程清单!A:Q,15,0)),"")</f>
        <v>0</v>
      </c>
      <c r="L85" s="26" t="str">
        <f>IFERROR(IF(VLOOKUP(U85,课程清单!A:Q,16,0)=$L$4,VLOOKUP(U85,课程清单!A:Q,17,0),""),"")</f>
        <v/>
      </c>
      <c r="M85" s="11" t="str">
        <f>IFERROR(IF(VLOOKUP(U85,课程清单!A:Q,16,0)=$M$4,VLOOKUP(U85,课程清单!A:Q,17,0),""),"")</f>
        <v/>
      </c>
      <c r="N85" s="11" t="str">
        <f>IFERROR(IF(VLOOKUP(U85,课程清单!A:Q,16,0)=$N$4,VLOOKUP(U85,课程清单!A:Q,17,0),""),"")</f>
        <v/>
      </c>
      <c r="O85" s="11" t="str">
        <f>IFERROR(IF(VLOOKUP(U85,课程清单!A:Q,16,0)=$O$4,VLOOKUP(U85,课程清单!A:Q,17,0),""),"")</f>
        <v/>
      </c>
      <c r="P85" s="11" t="str">
        <f>IFERROR(IF(VLOOKUP(U85,课程清单!A:Q,16,0)=$P$4,VLOOKUP(U85,课程清单!A:Q,17,0),""),"")</f>
        <v/>
      </c>
      <c r="Q85" s="11">
        <f>IFERROR(IF(VLOOKUP(U85,课程清单!A:Q,16,0)=$Q$4,VLOOKUP(U85,课程清单!A:Q,17,0),""),"")</f>
        <v>2</v>
      </c>
      <c r="R85" s="11" t="str">
        <f>IFERROR(IF(VLOOKUP(U85,课程清单!A:Q,16,0)=$R$4,VLOOKUP(U85,课程清单!A:Q,17,0),""),"")</f>
        <v/>
      </c>
      <c r="S85" s="11" t="str">
        <f>IFERROR(IF(VLOOKUP(U85,课程清单!A:Q,16,0)=$S$4,VLOOKUP(U85,课程清单!A:Q,17,0),""),"")</f>
        <v/>
      </c>
      <c r="T85" s="7">
        <v>3</v>
      </c>
      <c r="U85" s="2" t="s">
        <v>367</v>
      </c>
      <c r="V85" s="7">
        <f t="shared" si="64"/>
        <v>67</v>
      </c>
      <c r="W85" s="7">
        <f t="shared" si="65"/>
        <v>2</v>
      </c>
      <c r="X85" s="7">
        <f t="shared" si="66"/>
        <v>32</v>
      </c>
      <c r="Y85" s="109">
        <f t="shared" si="67"/>
        <v>0</v>
      </c>
      <c r="Z85" s="109">
        <f t="shared" si="68"/>
        <v>0</v>
      </c>
      <c r="AA85" s="109">
        <f t="shared" si="69"/>
        <v>0</v>
      </c>
      <c r="AB85" s="109">
        <f t="shared" si="70"/>
        <v>0</v>
      </c>
    </row>
    <row r="86" spans="1:28" ht="24" x14ac:dyDescent="0.3">
      <c r="A86" s="188"/>
      <c r="B86" s="188"/>
      <c r="C86" s="11">
        <f>IF(E86="","",MAX(C$5:C85)+1)</f>
        <v>68</v>
      </c>
      <c r="D86" s="23" t="str">
        <f>IFERROR(IF(VLOOKUP(U86,课程清单!A:Q,7,0)="","",VLOOKUP(U86,课程清单!A:Q,7,0)),"")</f>
        <v/>
      </c>
      <c r="E86" s="12" t="str">
        <f>IFERROR(VLOOKUP(U86,课程清单!A:Q,8,0)&amp;IF(VLOOKUP(U86,课程清单!A:Q,9,0)="","",CHAR(10)&amp;VLOOKUP(U86,课程清单!A:Q,9,0)),"")</f>
        <v>飞机钣金成型技术
Aircraft Sheet Metal Forming Technology</v>
      </c>
      <c r="F86" s="11" t="str">
        <f>IFERROR(IF(VLOOKUP(U86,课程清单!A:Q,10,0)="","",VLOOKUP(U86,课程清单!A:Q,10,0)),"")</f>
        <v>必修</v>
      </c>
      <c r="G86" s="11" t="str">
        <f>IFERROR(IF(VLOOKUP(U86,课程清单!A:Q,11,0)="","",VLOOKUP(U86,课程清单!A:Q,11,0)),"")</f>
        <v>考试</v>
      </c>
      <c r="H86" s="11">
        <v>2</v>
      </c>
      <c r="I86" s="11">
        <v>32</v>
      </c>
      <c r="J86" s="11">
        <v>28</v>
      </c>
      <c r="K86" s="28">
        <f>IFERROR(IF(VLOOKUP(U86,课程清单!A:Q,15,0)="","",VLOOKUP(U86,课程清单!A:Q,15,0)),"")</f>
        <v>4</v>
      </c>
      <c r="L86" s="26" t="str">
        <f>IFERROR(IF(VLOOKUP(U86,课程清单!A:Q,16,0)=$L$4,VLOOKUP(U86,课程清单!A:Q,17,0),""),"")</f>
        <v/>
      </c>
      <c r="M86" s="11" t="str">
        <f>IFERROR(IF(VLOOKUP(U86,课程清单!A:Q,16,0)=$M$4,VLOOKUP(U86,课程清单!A:Q,17,0),""),"")</f>
        <v/>
      </c>
      <c r="N86" s="11" t="str">
        <f>IFERROR(IF(VLOOKUP(U86,课程清单!A:Q,16,0)=$N$4,VLOOKUP(U86,课程清单!A:Q,17,0),""),"")</f>
        <v/>
      </c>
      <c r="O86" s="11" t="str">
        <f>IFERROR(IF(VLOOKUP(U86,课程清单!A:Q,16,0)=$O$4,VLOOKUP(U86,课程清单!A:Q,17,0),""),"")</f>
        <v/>
      </c>
      <c r="P86" s="11" t="str">
        <f>IFERROR(IF(VLOOKUP(U86,课程清单!A:Q,16,0)=$P$4,VLOOKUP(U86,课程清单!A:Q,17,0),""),"")</f>
        <v/>
      </c>
      <c r="Q86" s="11">
        <v>2</v>
      </c>
      <c r="R86" s="11" t="str">
        <f>IFERROR(IF(VLOOKUP(U86,课程清单!A:Q,16,0)=$R$4,VLOOKUP(U86,课程清单!A:Q,17,0),""),"")</f>
        <v/>
      </c>
      <c r="S86" s="11" t="str">
        <f>IFERROR(IF(VLOOKUP(U86,课程清单!A:Q,16,0)=$S$4,VLOOKUP(U86,课程清单!A:Q,17,0),""),"")</f>
        <v/>
      </c>
      <c r="T86" s="7">
        <v>4</v>
      </c>
      <c r="U86" s="2" t="s">
        <v>368</v>
      </c>
      <c r="V86" s="7">
        <f t="shared" si="64"/>
        <v>68</v>
      </c>
      <c r="W86" s="7">
        <f t="shared" si="65"/>
        <v>1.75</v>
      </c>
      <c r="X86" s="7">
        <f t="shared" si="66"/>
        <v>28</v>
      </c>
      <c r="Y86" s="109">
        <f t="shared" si="67"/>
        <v>0.25</v>
      </c>
      <c r="Z86" s="109">
        <f t="shared" si="68"/>
        <v>4</v>
      </c>
      <c r="AA86" s="109">
        <f t="shared" si="69"/>
        <v>0</v>
      </c>
      <c r="AB86" s="109">
        <f t="shared" si="70"/>
        <v>0</v>
      </c>
    </row>
    <row r="87" spans="1:28" ht="24" x14ac:dyDescent="0.3">
      <c r="A87" s="188"/>
      <c r="B87" s="188"/>
      <c r="C87" s="11">
        <f>IF(E87="","",MAX(C$5:C86)+1)</f>
        <v>69</v>
      </c>
      <c r="D87" s="23" t="str">
        <f>IFERROR(IF(VLOOKUP(U87,课程清单!A:Q,7,0)="","",VLOOKUP(U87,课程清单!A:Q,7,0)),"")</f>
        <v/>
      </c>
      <c r="E87" s="12" t="str">
        <f>IFERROR(VLOOKUP(U87,课程清单!A:Q,8,0)&amp;IF(VLOOKUP(U87,课程清单!A:Q,9,0)="","",CHAR(10)&amp;VLOOKUP(U87,课程清单!A:Q,9,0)),"")</f>
        <v>飞机结构与维修
Aircraft Structure and Principle</v>
      </c>
      <c r="F87" s="11" t="str">
        <f>IFERROR(IF(VLOOKUP(U87,课程清单!A:Q,10,0)="","",VLOOKUP(U87,课程清单!A:Q,10,0)),"")</f>
        <v>必修</v>
      </c>
      <c r="G87" s="11" t="str">
        <f>IFERROR(IF(VLOOKUP(U87,课程清单!A:Q,11,0)="","",VLOOKUP(U87,课程清单!A:Q,11,0)),"")</f>
        <v>考试</v>
      </c>
      <c r="H87" s="11">
        <v>2</v>
      </c>
      <c r="I87" s="11">
        <v>32</v>
      </c>
      <c r="J87" s="11">
        <f>IFERROR(IF(VLOOKUP(U87,课程清单!A:Q,14,0)="","",VLOOKUP(U87,课程清单!A:Q,14,0)),"")</f>
        <v>28</v>
      </c>
      <c r="K87" s="28">
        <f>IFERROR(IF(VLOOKUP(U87,课程清单!A:Q,15,0)="","",VLOOKUP(U87,课程清单!A:Q,15,0)),"")</f>
        <v>4</v>
      </c>
      <c r="L87" s="26" t="str">
        <f>IFERROR(IF(VLOOKUP(U87,课程清单!A:Q,16,0)=$L$4,VLOOKUP(U87,课程清单!A:Q,17,0),""),"")</f>
        <v/>
      </c>
      <c r="M87" s="11" t="str">
        <f>IFERROR(IF(VLOOKUP(U87,课程清单!A:Q,16,0)=$M$4,VLOOKUP(U87,课程清单!A:Q,17,0),""),"")</f>
        <v/>
      </c>
      <c r="N87" s="11" t="str">
        <f>IFERROR(IF(VLOOKUP(U87,课程清单!A:Q,16,0)=$N$4,VLOOKUP(U87,课程清单!A:Q,17,0),""),"")</f>
        <v/>
      </c>
      <c r="O87" s="11" t="str">
        <f>IFERROR(IF(VLOOKUP(U87,课程清单!A:Q,16,0)=$O$4,VLOOKUP(U87,课程清单!A:Q,17,0),""),"")</f>
        <v/>
      </c>
      <c r="P87" s="11">
        <f>IFERROR(IF(VLOOKUP(U87,课程清单!A:Q,16,0)=$P$4,VLOOKUP(U87,课程清单!A:Q,17,0),""),"")</f>
        <v>1</v>
      </c>
      <c r="Q87" s="11" t="str">
        <f>IFERROR(IF(VLOOKUP(U87,课程清单!A:Q,16,0)=$Q$4,VLOOKUP(U87,课程清单!A:Q,17,0),""),"")</f>
        <v/>
      </c>
      <c r="R87" s="11" t="str">
        <f>IFERROR(IF(VLOOKUP(U87,课程清单!A:Q,16,0)=$R$4,VLOOKUP(U87,课程清单!A:Q,17,0),""),"")</f>
        <v/>
      </c>
      <c r="S87" s="11" t="str">
        <f>IFERROR(IF(VLOOKUP(U87,课程清单!A:Q,16,0)=$S$4,VLOOKUP(U87,课程清单!A:Q,17,0),""),"")</f>
        <v/>
      </c>
      <c r="T87" s="7">
        <v>5</v>
      </c>
      <c r="U87" s="2" t="s">
        <v>369</v>
      </c>
      <c r="V87" s="7">
        <f t="shared" si="64"/>
        <v>69</v>
      </c>
      <c r="W87" s="7">
        <f t="shared" si="65"/>
        <v>1.75</v>
      </c>
      <c r="X87" s="7">
        <f t="shared" si="66"/>
        <v>28</v>
      </c>
      <c r="Y87" s="109">
        <f t="shared" si="67"/>
        <v>0.25</v>
      </c>
      <c r="Z87" s="109">
        <f t="shared" si="68"/>
        <v>4</v>
      </c>
      <c r="AA87" s="109">
        <f t="shared" si="69"/>
        <v>0</v>
      </c>
      <c r="AB87" s="109">
        <f t="shared" si="70"/>
        <v>0</v>
      </c>
    </row>
    <row r="88" spans="1:28" ht="36" x14ac:dyDescent="0.3">
      <c r="A88" s="188"/>
      <c r="B88" s="188"/>
      <c r="C88" s="11">
        <f>IF(E88="","",MAX(C$5:C87)+1)</f>
        <v>70</v>
      </c>
      <c r="D88" s="23" t="str">
        <f>IFERROR(IF(VLOOKUP(U88,课程清单!A:Q,7,0)="","",VLOOKUP(U88,课程清单!A:Q,7,0)),"")</f>
        <v/>
      </c>
      <c r="E88" s="12" t="str">
        <f>IFERROR(VLOOKUP(U88,课程清单!A:Q,8,0)&amp;IF(VLOOKUP(U88,课程清单!A:Q,9,0)="","",CHAR(10)&amp;VLOOKUP(U88,课程清单!A:Q,9,0)),"")</f>
        <v>复合材料成型原理与工艺
Forming Principle and Process of Composite Material</v>
      </c>
      <c r="F88" s="11" t="str">
        <f>IFERROR(IF(VLOOKUP(U88,课程清单!A:Q,10,0)="","",VLOOKUP(U88,课程清单!A:Q,10,0)),"")</f>
        <v>必修</v>
      </c>
      <c r="G88" s="11" t="str">
        <f>IFERROR(IF(VLOOKUP(U88,课程清单!A:Q,11,0)="","",VLOOKUP(U88,课程清单!A:Q,11,0)),"")</f>
        <v>考查</v>
      </c>
      <c r="H88" s="11">
        <f>IFERROR(IF(VLOOKUP(U88,课程清单!A:Q,12,0)="","",VLOOKUP(U88,课程清单!A:Q,12,0)),"")</f>
        <v>2</v>
      </c>
      <c r="I88" s="11">
        <f>IFERROR(IF(VLOOKUP(U88,课程清单!A:Q,13,0)="","",VLOOKUP(U88,课程清单!A:Q,13,0)),"")</f>
        <v>32</v>
      </c>
      <c r="J88" s="11">
        <f>IFERROR(IF(VLOOKUP(U88,课程清单!A:Q,14,0)="","",VLOOKUP(U88,课程清单!A:Q,14,0)),"")</f>
        <v>24</v>
      </c>
      <c r="K88" s="28">
        <f>IFERROR(IF(VLOOKUP(U88,课程清单!A:Q,15,0)="","",VLOOKUP(U88,课程清单!A:Q,15,0)),"")</f>
        <v>8</v>
      </c>
      <c r="L88" s="26" t="str">
        <f>IFERROR(IF(VLOOKUP(U88,课程清单!A:Q,16,0)=$L$4,VLOOKUP(U88,课程清单!A:Q,17,0),""),"")</f>
        <v/>
      </c>
      <c r="M88" s="11" t="str">
        <f>IFERROR(IF(VLOOKUP(U88,课程清单!A:Q,16,0)=$M$4,VLOOKUP(U88,课程清单!A:Q,17,0),""),"")</f>
        <v/>
      </c>
      <c r="N88" s="11" t="str">
        <f>IFERROR(IF(VLOOKUP(U88,课程清单!A:Q,16,0)=$N$4,VLOOKUP(U88,课程清单!A:Q,17,0),""),"")</f>
        <v/>
      </c>
      <c r="O88" s="11" t="str">
        <f>IFERROR(IF(VLOOKUP(U88,课程清单!A:Q,16,0)=$O$4,VLOOKUP(U88,课程清单!A:Q,17,0),""),"")</f>
        <v/>
      </c>
      <c r="P88" s="11">
        <f>IFERROR(IF(VLOOKUP(U88,课程清单!A:Q,16,0)=$P$4,VLOOKUP(U88,课程清单!A:Q,17,0),""),"")</f>
        <v>2</v>
      </c>
      <c r="Q88" s="11" t="str">
        <f>IFERROR(IF(VLOOKUP(U88,课程清单!A:Q,16,0)=$Q$4,VLOOKUP(U88,课程清单!A:Q,17,0),""),"")</f>
        <v/>
      </c>
      <c r="R88" s="11" t="str">
        <f>IFERROR(IF(VLOOKUP(U88,课程清单!A:Q,16,0)=$R$4,VLOOKUP(U88,课程清单!A:Q,17,0),""),"")</f>
        <v/>
      </c>
      <c r="S88" s="11" t="str">
        <f>IFERROR(IF(VLOOKUP(U88,课程清单!A:Q,16,0)=$S$4,VLOOKUP(U88,课程清单!A:Q,17,0),""),"")</f>
        <v/>
      </c>
      <c r="T88" s="7">
        <v>6</v>
      </c>
      <c r="U88" s="2" t="s">
        <v>370</v>
      </c>
      <c r="V88" s="7">
        <f t="shared" si="64"/>
        <v>70</v>
      </c>
      <c r="W88" s="7">
        <f t="shared" si="65"/>
        <v>1.5</v>
      </c>
      <c r="X88" s="7">
        <f t="shared" si="66"/>
        <v>24</v>
      </c>
      <c r="Y88" s="109">
        <f t="shared" si="67"/>
        <v>0.5</v>
      </c>
      <c r="Z88" s="109">
        <f t="shared" si="68"/>
        <v>8</v>
      </c>
      <c r="AA88" s="109">
        <f t="shared" si="69"/>
        <v>0</v>
      </c>
      <c r="AB88" s="109">
        <f t="shared" si="70"/>
        <v>0</v>
      </c>
    </row>
    <row r="89" spans="1:28" ht="24" x14ac:dyDescent="0.3">
      <c r="A89" s="188"/>
      <c r="B89" s="188"/>
      <c r="C89" s="11">
        <f>IF(E89="","",MAX(C$5:C88)+1)</f>
        <v>71</v>
      </c>
      <c r="D89" s="23" t="str">
        <f>IFERROR(IF(VLOOKUP(U89,课程清单!A:Q,7,0)="","",VLOOKUP(U89,课程清单!A:Q,7,0)),"")</f>
        <v/>
      </c>
      <c r="E89" s="12" t="str">
        <f>IFERROR(VLOOKUP(U89,课程清单!A:Q,8,0)&amp;IF(VLOOKUP(U89,课程清单!A:Q,9,0)="","",CHAR(10)&amp;VLOOKUP(U89,课程清单!A:Q,9,0)),"")</f>
        <v>飞机装配工艺学
Aircraft Assembly process</v>
      </c>
      <c r="F89" s="11" t="str">
        <f>IFERROR(IF(VLOOKUP(U89,课程清单!A:Q,10,0)="","",VLOOKUP(U89,课程清单!A:Q,10,0)),"")</f>
        <v>必修</v>
      </c>
      <c r="G89" s="11" t="str">
        <f>IFERROR(IF(VLOOKUP(U89,课程清单!A:Q,11,0)="","",VLOOKUP(U89,课程清单!A:Q,11,0)),"")</f>
        <v>考试</v>
      </c>
      <c r="H89" s="11">
        <f>IFERROR(IF(VLOOKUP(U89,课程清单!A:Q,12,0)="","",VLOOKUP(U89,课程清单!A:Q,12,0)),"")</f>
        <v>2</v>
      </c>
      <c r="I89" s="11">
        <f>IFERROR(IF(VLOOKUP(U89,课程清单!A:Q,13,0)="","",VLOOKUP(U89,课程清单!A:Q,13,0)),"")</f>
        <v>32</v>
      </c>
      <c r="J89" s="11">
        <f>IFERROR(IF(VLOOKUP(U89,课程清单!A:Q,14,0)="","",VLOOKUP(U89,课程清单!A:Q,14,0)),"")</f>
        <v>32</v>
      </c>
      <c r="K89" s="28">
        <f>IFERROR(IF(VLOOKUP(U89,课程清单!A:Q,15,0)="","",VLOOKUP(U89,课程清单!A:Q,15,0)),"")</f>
        <v>0</v>
      </c>
      <c r="L89" s="26" t="str">
        <f>IFERROR(IF(VLOOKUP(U89,课程清单!A:Q,16,0)=$L$4,VLOOKUP(U89,课程清单!A:Q,17,0),""),"")</f>
        <v/>
      </c>
      <c r="M89" s="11" t="str">
        <f>IFERROR(IF(VLOOKUP(U89,课程清单!A:Q,16,0)=$M$4,VLOOKUP(U89,课程清单!A:Q,17,0),""),"")</f>
        <v/>
      </c>
      <c r="N89" s="11" t="str">
        <f>IFERROR(IF(VLOOKUP(U89,课程清单!A:Q,16,0)=$N$4,VLOOKUP(U89,课程清单!A:Q,17,0),""),"")</f>
        <v/>
      </c>
      <c r="O89" s="11" t="str">
        <f>IFERROR(IF(VLOOKUP(U89,课程清单!A:Q,16,0)=$O$4,VLOOKUP(U89,课程清单!A:Q,17,0),""),"")</f>
        <v/>
      </c>
      <c r="P89" s="11" t="str">
        <f>IFERROR(IF(VLOOKUP(U89,课程清单!A:Q,16,0)=$P$4,VLOOKUP(U89,课程清单!A:Q,17,0),""),"")</f>
        <v/>
      </c>
      <c r="Q89" s="11">
        <f>IFERROR(IF(VLOOKUP(U89,课程清单!A:Q,16,0)=$Q$4,VLOOKUP(U89,课程清单!A:Q,17,0),""),"")</f>
        <v>2</v>
      </c>
      <c r="R89" s="11" t="str">
        <f>IFERROR(IF(VLOOKUP(U89,课程清单!A:Q,16,0)=$R$4,VLOOKUP(U89,课程清单!A:Q,17,0),""),"")</f>
        <v/>
      </c>
      <c r="S89" s="11" t="str">
        <f>IFERROR(IF(VLOOKUP(U89,课程清单!A:Q,16,0)=$S$4,VLOOKUP(U89,课程清单!A:Q,17,0),""),"")</f>
        <v/>
      </c>
      <c r="T89" s="7">
        <v>7</v>
      </c>
      <c r="U89" s="2" t="s">
        <v>371</v>
      </c>
      <c r="V89" s="7">
        <f t="shared" si="64"/>
        <v>71</v>
      </c>
      <c r="W89" s="7">
        <f t="shared" si="65"/>
        <v>2</v>
      </c>
      <c r="X89" s="7">
        <f t="shared" si="66"/>
        <v>32</v>
      </c>
      <c r="Y89" s="109">
        <f t="shared" si="67"/>
        <v>0</v>
      </c>
      <c r="Z89" s="109">
        <f t="shared" si="68"/>
        <v>0</v>
      </c>
      <c r="AA89" s="109">
        <f t="shared" si="69"/>
        <v>0</v>
      </c>
      <c r="AB89" s="109">
        <f t="shared" si="70"/>
        <v>0</v>
      </c>
    </row>
    <row r="90" spans="1:28" ht="24" customHeight="1" x14ac:dyDescent="0.3">
      <c r="A90" s="188"/>
      <c r="B90" s="188"/>
      <c r="C90" s="11"/>
      <c r="D90" s="23"/>
      <c r="E90" s="30" t="s">
        <v>361</v>
      </c>
      <c r="F90" s="11"/>
      <c r="G90" s="11"/>
      <c r="H90" s="18">
        <f>SUM(H83:H89)</f>
        <v>13</v>
      </c>
      <c r="I90" s="18">
        <f>SUM(I83:I89)</f>
        <v>208</v>
      </c>
      <c r="J90" s="18">
        <f>SUM(J83:J89)</f>
        <v>188</v>
      </c>
      <c r="K90" s="21">
        <f>SUM(K83:K89)</f>
        <v>20</v>
      </c>
      <c r="L90" s="26"/>
      <c r="M90" s="11"/>
      <c r="N90" s="11"/>
      <c r="O90" s="11"/>
      <c r="P90" s="11"/>
      <c r="Q90" s="11"/>
      <c r="R90" s="11"/>
      <c r="S90" s="11"/>
      <c r="Y90" s="109"/>
      <c r="Z90" s="109"/>
      <c r="AA90" s="109"/>
      <c r="AB90" s="109"/>
    </row>
    <row r="91" spans="1:28" ht="30.5" customHeight="1" x14ac:dyDescent="0.3">
      <c r="A91" s="188"/>
      <c r="B91" s="188"/>
      <c r="C91" s="11">
        <f>IF(E91="","",MAX(C$5:C90)+1)</f>
        <v>72</v>
      </c>
      <c r="D91" s="23" t="str">
        <f>IFERROR(IF(VLOOKUP(U91,课程清单!A:Q,7,0)="","",VLOOKUP(U91,课程清单!A:Q,7,0)),"")</f>
        <v/>
      </c>
      <c r="E91" s="12" t="str">
        <f>IFERROR(VLOOKUP(U91,课程清单!A:Q,8,0)&amp;IF(VLOOKUP(U91,课程清单!A:Q,9,0)="","",CHAR(10)&amp;VLOOKUP(U91,课程清单!A:Q,9,0)),"")</f>
        <v>飞行器特种加工
Aircraft Special Processing</v>
      </c>
      <c r="F91" s="11" t="str">
        <f>IFERROR(IF(VLOOKUP(U91,课程清单!A:Q,10,0)="","",VLOOKUP(U91,课程清单!A:Q,10,0)),"")</f>
        <v>选修</v>
      </c>
      <c r="G91" s="11" t="str">
        <f>IFERROR(IF(VLOOKUP(U91,课程清单!A:Q,11,0)="","",VLOOKUP(U91,课程清单!A:Q,11,0)),"")</f>
        <v>考查</v>
      </c>
      <c r="H91" s="11">
        <f>IFERROR(IF(VLOOKUP(U91,课程清单!A:Q,12,0)="","",VLOOKUP(U91,课程清单!A:Q,12,0)),"")</f>
        <v>2</v>
      </c>
      <c r="I91" s="11">
        <f>IFERROR(IF(VLOOKUP(U91,课程清单!A:Q,13,0)="","",VLOOKUP(U91,课程清单!A:Q,13,0)),"")</f>
        <v>32</v>
      </c>
      <c r="J91" s="11">
        <f>IFERROR(IF(VLOOKUP(U91,课程清单!A:Q,14,0)="","",VLOOKUP(U91,课程清单!A:Q,14,0)),"")</f>
        <v>16</v>
      </c>
      <c r="K91" s="28">
        <f>IFERROR(IF(VLOOKUP(U91,课程清单!A:Q,15,0)="","",VLOOKUP(U91,课程清单!A:Q,15,0)),"")</f>
        <v>16</v>
      </c>
      <c r="L91" s="26" t="str">
        <f>IFERROR(IF(VLOOKUP(U91,课程清单!A:Q,16,0)=$L$4,VLOOKUP(U91,课程清单!A:Q,17,0),""),"")</f>
        <v/>
      </c>
      <c r="M91" s="11" t="str">
        <f>IFERROR(IF(VLOOKUP(U91,课程清单!A:Q,16,0)=$M$4,VLOOKUP(U91,课程清单!A:Q,17,0),""),"")</f>
        <v/>
      </c>
      <c r="N91" s="11" t="str">
        <f>IFERROR(IF(VLOOKUP(U91,课程清单!A:Q,16,0)=$N$4,VLOOKUP(U91,课程清单!A:Q,17,0),""),"")</f>
        <v/>
      </c>
      <c r="O91" s="11" t="str">
        <f>IFERROR(IF(VLOOKUP(U91,课程清单!A:Q,16,0)=$O$4,VLOOKUP(U91,课程清单!A:Q,17,0),""),"")</f>
        <v/>
      </c>
      <c r="P91" s="11" t="str">
        <f>IFERROR(IF(VLOOKUP(U91,课程清单!A:Q,16,0)=$P$4,VLOOKUP(U91,课程清单!A:Q,17,0),""),"")</f>
        <v/>
      </c>
      <c r="Q91" s="11" t="str">
        <f>IFERROR(IF(VLOOKUP(U91,课程清单!A:Q,16,0)=$Q$4,VLOOKUP(U91,课程清单!A:Q,17,0),""),"")</f>
        <v/>
      </c>
      <c r="R91" s="11">
        <f>IFERROR(IF(VLOOKUP(U91,课程清单!A:Q,16,0)=$R$4,VLOOKUP(U91,课程清单!A:Q,17,0),""),"")</f>
        <v>2</v>
      </c>
      <c r="S91" s="11" t="str">
        <f>IFERROR(IF(VLOOKUP(U91,课程清单!A:Q,16,0)=$S$4,VLOOKUP(U91,课程清单!A:Q,17,0),""),"")</f>
        <v/>
      </c>
      <c r="T91" s="7">
        <v>1</v>
      </c>
      <c r="U91" s="2" t="s">
        <v>372</v>
      </c>
      <c r="V91" s="7">
        <f>C91</f>
        <v>72</v>
      </c>
      <c r="Y91" s="109"/>
      <c r="Z91" s="109"/>
      <c r="AA91" s="109"/>
      <c r="AB91" s="109"/>
    </row>
    <row r="92" spans="1:28" ht="29.5" customHeight="1" x14ac:dyDescent="0.3">
      <c r="A92" s="188"/>
      <c r="B92" s="188"/>
      <c r="C92" s="11">
        <f>IF(E92="","",MAX(C$5:C91)+1)</f>
        <v>73</v>
      </c>
      <c r="D92" s="23" t="str">
        <f>IFERROR(IF(VLOOKUP(U92,课程清单!A:Q,7,0)="","",VLOOKUP(U92,课程清单!A:Q,7,0)),"")</f>
        <v>023115P1</v>
      </c>
      <c r="E92" s="12" t="str">
        <f>IFERROR(VLOOKUP(U92,课程清单!A:Q,8,0)&amp;IF(VLOOKUP(U92,课程清单!A:Q,9,0)="","",CHAR(10)&amp;VLOOKUP(U92,课程清单!A:Q,9,0)),"")</f>
        <v>数字化制造技术
Digital Manufacturing Technology</v>
      </c>
      <c r="F92" s="11" t="str">
        <f>IFERROR(IF(VLOOKUP(U92,课程清单!A:Q,10,0)="","",VLOOKUP(U92,课程清单!A:Q,10,0)),"")</f>
        <v>选修</v>
      </c>
      <c r="G92" s="11" t="str">
        <f>IFERROR(IF(VLOOKUP(U92,课程清单!A:Q,11,0)="","",VLOOKUP(U92,课程清单!A:Q,11,0)),"")</f>
        <v>考试</v>
      </c>
      <c r="H92" s="11">
        <f>IFERROR(IF(VLOOKUP(U92,课程清单!A:Q,12,0)="","",VLOOKUP(U92,课程清单!A:Q,12,0)),"")</f>
        <v>2</v>
      </c>
      <c r="I92" s="11">
        <f>IFERROR(IF(VLOOKUP(U92,课程清单!A:Q,13,0)="","",VLOOKUP(U92,课程清单!A:Q,13,0)),"")</f>
        <v>32</v>
      </c>
      <c r="J92" s="11">
        <f>IFERROR(IF(VLOOKUP(U92,课程清单!A:Q,14,0)="","",VLOOKUP(U92,课程清单!A:Q,14,0)),"")</f>
        <v>16</v>
      </c>
      <c r="K92" s="28">
        <f>IFERROR(IF(VLOOKUP(U92,课程清单!A:Q,15,0)="","",VLOOKUP(U92,课程清单!A:Q,15,0)),"")</f>
        <v>16</v>
      </c>
      <c r="L92" s="26" t="str">
        <f>IFERROR(IF(VLOOKUP(U92,课程清单!A:Q,16,0)=$L$4,VLOOKUP(U92,课程清单!A:Q,17,0),""),"")</f>
        <v/>
      </c>
      <c r="M92" s="11" t="str">
        <f>IFERROR(IF(VLOOKUP(U92,课程清单!A:Q,16,0)=$M$4,VLOOKUP(U92,课程清单!A:Q,17,0),""),"")</f>
        <v/>
      </c>
      <c r="N92" s="11" t="str">
        <f>IFERROR(IF(VLOOKUP(U92,课程清单!A:Q,16,0)=$N$4,VLOOKUP(U92,课程清单!A:Q,17,0),""),"")</f>
        <v/>
      </c>
      <c r="O92" s="11" t="str">
        <f>IFERROR(IF(VLOOKUP(U92,课程清单!A:Q,16,0)=$O$4,VLOOKUP(U92,课程清单!A:Q,17,0),""),"")</f>
        <v/>
      </c>
      <c r="P92" s="11" t="str">
        <f>IFERROR(IF(VLOOKUP(U92,课程清单!A:Q,16,0)=$P$4,VLOOKUP(U92,课程清单!A:Q,17,0),""),"")</f>
        <v/>
      </c>
      <c r="Q92" s="11" t="str">
        <f>IFERROR(IF(VLOOKUP(U92,课程清单!A:Q,16,0)=$Q$4,VLOOKUP(U92,课程清单!A:Q,17,0),""),"")</f>
        <v/>
      </c>
      <c r="R92" s="11">
        <f>IFERROR(IF(VLOOKUP(U92,课程清单!A:Q,16,0)=$R$4,VLOOKUP(U92,课程清单!A:Q,17,0),""),"")</f>
        <v>2</v>
      </c>
      <c r="S92" s="11" t="str">
        <f>IFERROR(IF(VLOOKUP(U92,课程清单!A:Q,16,0)=$S$4,VLOOKUP(U92,课程清单!A:Q,17,0),""),"")</f>
        <v/>
      </c>
      <c r="T92" s="7">
        <v>2</v>
      </c>
      <c r="U92" s="2" t="s">
        <v>373</v>
      </c>
      <c r="V92" s="7">
        <f>C92</f>
        <v>73</v>
      </c>
      <c r="Y92" s="109"/>
      <c r="Z92" s="109"/>
      <c r="AA92" s="109"/>
      <c r="AB92" s="109"/>
    </row>
    <row r="93" spans="1:28" ht="24" customHeight="1" x14ac:dyDescent="0.3">
      <c r="A93" s="188"/>
      <c r="B93" s="188"/>
      <c r="C93" s="186" t="s">
        <v>374</v>
      </c>
      <c r="D93" s="187"/>
      <c r="E93" s="187"/>
      <c r="F93" s="187"/>
      <c r="G93" s="187"/>
      <c r="H93" s="104">
        <f>SUM(H90 )</f>
        <v>13</v>
      </c>
      <c r="I93" s="104">
        <f>SUM(I90 )</f>
        <v>208</v>
      </c>
      <c r="J93" s="104">
        <f>SUM(J90 )</f>
        <v>188</v>
      </c>
      <c r="K93" s="105">
        <f>SUM(K90 )</f>
        <v>20</v>
      </c>
      <c r="L93" s="106">
        <f>SUMIFS(L83:L92,F83:F92,"必修" )</f>
        <v>1</v>
      </c>
      <c r="M93" s="104">
        <f>SUMIFS(M83:M92,F83:F92,"必修" )</f>
        <v>0</v>
      </c>
      <c r="N93" s="104">
        <f>SUMIFS(N83:N92,F83:F92,"必修" )</f>
        <v>0</v>
      </c>
      <c r="O93" s="104">
        <f>SUMIFS(O83:O92,F83:F92,"必修" )</f>
        <v>2</v>
      </c>
      <c r="P93" s="104">
        <f>SUMIFS(P83:P92,F83:F92,"必修" )</f>
        <v>3</v>
      </c>
      <c r="Q93" s="104">
        <f>SUMIFS(Q83:Q92,F83:F92,"必修" )</f>
        <v>6</v>
      </c>
      <c r="R93" s="104">
        <f>SUMIFS(R83:R92,F83:F92,"必修" )</f>
        <v>0</v>
      </c>
      <c r="S93" s="104">
        <f>SUMIFS(S83:S92,F83:F92,"必修" )</f>
        <v>0</v>
      </c>
      <c r="Y93" s="109"/>
      <c r="Z93" s="109"/>
      <c r="AA93" s="109"/>
      <c r="AB93" s="109"/>
    </row>
    <row r="94" spans="1:28" ht="24" x14ac:dyDescent="0.3">
      <c r="A94" s="188" t="s">
        <v>43</v>
      </c>
      <c r="B94" s="188" t="s">
        <v>33</v>
      </c>
      <c r="C94" s="11">
        <f>IF(E94="","",MAX(C$5:C93)+1)</f>
        <v>74</v>
      </c>
      <c r="D94" s="23" t="str">
        <f>IFERROR(IF(VLOOKUP(U94,课程清单!A:Q,7,0)="","",VLOOKUP(U94,课程清单!A:Q,7,0)),"")</f>
        <v>023167P2</v>
      </c>
      <c r="E94" s="12" t="str">
        <f>IFERROR(VLOOKUP(U94,课程清单!A:Q,8,0)&amp;IF(VLOOKUP(U94,课程清单!A:Q,9,0)="","",CHAR(10)&amp;VLOOKUP(U94,课程清单!A:Q,9,0)),"")</f>
        <v>控制工程基础
Fundamentals of Control Engineering</v>
      </c>
      <c r="F94" s="11" t="str">
        <f>IFERROR(IF(VLOOKUP(U94,课程清单!A:Q,10,0)="","",VLOOKUP(U94,课程清单!A:Q,10,0)),"")</f>
        <v>必修</v>
      </c>
      <c r="G94" s="11" t="str">
        <f>IFERROR(IF(VLOOKUP(U94,课程清单!A:Q,11,0)="","",VLOOKUP(U94,课程清单!A:Q,11,0)),"")</f>
        <v>考试</v>
      </c>
      <c r="H94" s="11">
        <f>IFERROR(IF(VLOOKUP(U94,课程清单!A:Q,12,0)="","",VLOOKUP(U94,课程清单!A:Q,12,0)),"")</f>
        <v>2</v>
      </c>
      <c r="I94" s="11">
        <f>IFERROR(IF(VLOOKUP(U94,课程清单!A:Q,13,0)="","",VLOOKUP(U94,课程清单!A:Q,13,0)),"")</f>
        <v>32</v>
      </c>
      <c r="J94" s="11">
        <f>IFERROR(IF(VLOOKUP(U94,课程清单!A:Q,14,0)="","",VLOOKUP(U94,课程清单!A:Q,14,0)),"")</f>
        <v>28</v>
      </c>
      <c r="K94" s="28">
        <f>IFERROR(IF(VLOOKUP(U94,课程清单!A:Q,15,0)="","",VLOOKUP(U94,课程清单!A:Q,15,0)),"")</f>
        <v>4</v>
      </c>
      <c r="L94" s="26" t="str">
        <f>IFERROR(IF(VLOOKUP(U94,课程清单!A:Q,16,0)=$L$4,VLOOKUP(U94,课程清单!A:Q,17,0),""),"")</f>
        <v/>
      </c>
      <c r="M94" s="11" t="str">
        <f>IFERROR(IF(VLOOKUP(U94,课程清单!A:Q,16,0)=$M$4,VLOOKUP(U94,课程清单!A:Q,17,0),""),"")</f>
        <v/>
      </c>
      <c r="N94" s="11" t="str">
        <f>IFERROR(IF(VLOOKUP(U94,课程清单!A:Q,16,0)=$N$4,VLOOKUP(U94,课程清单!A:Q,17,0),""),"")</f>
        <v/>
      </c>
      <c r="O94" s="11" t="str">
        <f>IFERROR(IF(VLOOKUP(U94,课程清单!A:Q,16,0)=$O$4,VLOOKUP(U94,课程清单!A:Q,17,0),""),"")</f>
        <v/>
      </c>
      <c r="P94" s="11">
        <f>IFERROR(IF(VLOOKUP(U94,课程清单!A:Q,16,0)=$P$4,VLOOKUP(U94,课程清单!A:Q,17,0),""),"")</f>
        <v>2</v>
      </c>
      <c r="Q94" s="11" t="str">
        <f>IFERROR(IF(VLOOKUP(U94,课程清单!A:Q,16,0)=$Q$4,VLOOKUP(U94,课程清单!A:Q,17,0),""),"")</f>
        <v/>
      </c>
      <c r="R94" s="11" t="str">
        <f>IFERROR(IF(VLOOKUP(U94,课程清单!A:Q,16,0)=$R$4,VLOOKUP(U94,课程清单!A:Q,17,0),""),"")</f>
        <v/>
      </c>
      <c r="S94" s="11" t="str">
        <f>IFERROR(IF(VLOOKUP(U94,课程清单!A:Q,16,0)=$S$4,VLOOKUP(U94,课程清单!A:Q,17,0),""),"")</f>
        <v/>
      </c>
      <c r="T94" s="7">
        <v>1</v>
      </c>
      <c r="U94" s="2" t="s">
        <v>375</v>
      </c>
      <c r="V94" s="7">
        <f>C94</f>
        <v>74</v>
      </c>
      <c r="W94" s="7">
        <f>IF(_xlfn.IFNA(MATCH("+*",L94:S94,0),-1)=-1,H94*IF(J94="",0,J94)/I94,0)</f>
        <v>1.75</v>
      </c>
      <c r="X94" s="7">
        <f>IF(_xlfn.IFNA(MATCH("+*",L94:S94,0),-1)=-1,J94,0)</f>
        <v>28</v>
      </c>
      <c r="Y94" s="109">
        <f>IF(_xlfn.IFNA(MATCH("+*",L94:S94,0),-1)=-1,H94*IF(K94="",0,K94)/I94,0)</f>
        <v>0.25</v>
      </c>
      <c r="Z94" s="109">
        <f>IF(_xlfn.IFNA(MATCH("+*",L94:S94,0),-1)=-1,IF(K94="",0,K94),0)</f>
        <v>4</v>
      </c>
      <c r="AA94" s="109">
        <f>IF(_xlfn.IFNA(MATCH("+*",L94:S94,0),-1)&lt;&gt;-1,H94,0)</f>
        <v>0</v>
      </c>
      <c r="AB94" s="109">
        <f>IF(AA94=0,0,K94)</f>
        <v>0</v>
      </c>
    </row>
    <row r="95" spans="1:28" ht="24" x14ac:dyDescent="0.3">
      <c r="A95" s="188"/>
      <c r="B95" s="188"/>
      <c r="C95" s="11">
        <f>IF(E95="","",MAX(C$5:C94)+1)</f>
        <v>75</v>
      </c>
      <c r="D95" s="23" t="str">
        <f>IFERROR(IF(VLOOKUP(U95,课程清单!A:Q,7,0)="","",VLOOKUP(U95,课程清单!A:Q,7,0)),"")</f>
        <v>023006A3</v>
      </c>
      <c r="E95" s="12" t="str">
        <f>IFERROR(VLOOKUP(U95,课程清单!A:Q,8,0)&amp;IF(VLOOKUP(U95,课程清单!A:Q,9,0)="","",CHAR(10)&amp;VLOOKUP(U95,课程清单!A:Q,9,0)),"")</f>
        <v>传感与检测技术
Sensing and Detection Technology</v>
      </c>
      <c r="F95" s="11" t="str">
        <f>IFERROR(IF(VLOOKUP(U95,课程清单!A:Q,10,0)="","",VLOOKUP(U95,课程清单!A:Q,10,0)),"")</f>
        <v>必修</v>
      </c>
      <c r="G95" s="11" t="str">
        <f>IFERROR(IF(VLOOKUP(U95,课程清单!A:Q,11,0)="","",VLOOKUP(U95,课程清单!A:Q,11,0)),"")</f>
        <v>考试</v>
      </c>
      <c r="H95" s="11">
        <f>IFERROR(IF(VLOOKUP(U95,课程清单!A:Q,12,0)="","",VLOOKUP(U95,课程清单!A:Q,12,0)),"")</f>
        <v>2</v>
      </c>
      <c r="I95" s="11">
        <f>IFERROR(IF(VLOOKUP(U95,课程清单!A:Q,13,0)="","",VLOOKUP(U95,课程清单!A:Q,13,0)),"")</f>
        <v>32</v>
      </c>
      <c r="J95" s="11">
        <f>IFERROR(IF(VLOOKUP(U95,课程清单!A:Q,14,0)="","",VLOOKUP(U95,课程清单!A:Q,14,0)),"")</f>
        <v>28</v>
      </c>
      <c r="K95" s="28">
        <f>IFERROR(IF(VLOOKUP(U95,课程清单!A:Q,15,0)="","",VLOOKUP(U95,课程清单!A:Q,15,0)),"")</f>
        <v>4</v>
      </c>
      <c r="L95" s="26" t="str">
        <f>IFERROR(IF(VLOOKUP(U95,课程清单!A:Q,16,0)=$L$4,VLOOKUP(U95,课程清单!A:Q,17,0),""),"")</f>
        <v/>
      </c>
      <c r="M95" s="11" t="str">
        <f>IFERROR(IF(VLOOKUP(U95,课程清单!A:Q,16,0)=$M$4,VLOOKUP(U95,课程清单!A:Q,17,0),""),"")</f>
        <v/>
      </c>
      <c r="N95" s="11" t="str">
        <f>IFERROR(IF(VLOOKUP(U95,课程清单!A:Q,16,0)=$N$4,VLOOKUP(U95,课程清单!A:Q,17,0),""),"")</f>
        <v/>
      </c>
      <c r="O95" s="11" t="str">
        <f>IFERROR(IF(VLOOKUP(U95,课程清单!A:Q,16,0)=$O$4,VLOOKUP(U95,课程清单!A:Q,17,0),""),"")</f>
        <v/>
      </c>
      <c r="P95" s="11">
        <f>IFERROR(IF(VLOOKUP(U95,课程清单!A:Q,16,0)=$P$4,VLOOKUP(U95,课程清单!A:Q,17,0),""),"")</f>
        <v>2</v>
      </c>
      <c r="Q95" s="11" t="str">
        <f>IFERROR(IF(VLOOKUP(U95,课程清单!A:Q,16,0)=$Q$4,VLOOKUP(U95,课程清单!A:Q,17,0),""),"")</f>
        <v/>
      </c>
      <c r="R95" s="11" t="str">
        <f>IFERROR(IF(VLOOKUP(U95,课程清单!A:Q,16,0)=$R$4,VLOOKUP(U95,课程清单!A:Q,17,0),""),"")</f>
        <v/>
      </c>
      <c r="S95" s="11" t="str">
        <f>IFERROR(IF(VLOOKUP(U95,课程清单!A:Q,16,0)=$S$4,VLOOKUP(U95,课程清单!A:Q,17,0),""),"")</f>
        <v/>
      </c>
      <c r="T95" s="7">
        <v>2</v>
      </c>
      <c r="U95" s="2" t="s">
        <v>376</v>
      </c>
      <c r="V95" s="7">
        <f>C95</f>
        <v>75</v>
      </c>
      <c r="W95" s="7">
        <f>IF(_xlfn.IFNA(MATCH("+*",L95:S95,0),-1)=-1,H95*IF(J95="",0,J95)/I95,0)</f>
        <v>1.75</v>
      </c>
      <c r="X95" s="7">
        <f>IF(_xlfn.IFNA(MATCH("+*",L95:S95,0),-1)=-1,J95,0)</f>
        <v>28</v>
      </c>
      <c r="Y95" s="109">
        <f>IF(_xlfn.IFNA(MATCH("+*",L95:S95,0),-1)=-1,H95*IF(K95="",0,K95)/I95,0)</f>
        <v>0.25</v>
      </c>
      <c r="Z95" s="109">
        <f>IF(_xlfn.IFNA(MATCH("+*",L95:S95,0),-1)=-1,IF(K95="",0,K95),0)</f>
        <v>4</v>
      </c>
      <c r="AA95" s="109">
        <f>IF(_xlfn.IFNA(MATCH("+*",L95:S95,0),-1)&lt;&gt;-1,H95,0)</f>
        <v>0</v>
      </c>
      <c r="AB95" s="109">
        <f>IF(AA95=0,0,K95)</f>
        <v>0</v>
      </c>
    </row>
    <row r="96" spans="1:28" ht="24" x14ac:dyDescent="0.3">
      <c r="A96" s="188"/>
      <c r="B96" s="188"/>
      <c r="C96" s="11">
        <f>IF(E96="","",MAX(C$5:C95)+1)</f>
        <v>76</v>
      </c>
      <c r="D96" s="23" t="str">
        <f>IFERROR(IF(VLOOKUP(U96,课程清单!A:Q,7,0)="","",VLOOKUP(U96,课程清单!A:Q,7,0)),"")</f>
        <v xml:space="preserve">023176P5 </v>
      </c>
      <c r="E96" s="12" t="str">
        <f>IFERROR(VLOOKUP(U96,课程清单!A:Q,8,0)&amp;IF(VLOOKUP(U96,课程清单!A:Q,9,0)="","",CHAR(10)&amp;VLOOKUP(U96,课程清单!A:Q,9,0)),"")</f>
        <v>项目管理与经济分析
Project Management and Economic Analysis</v>
      </c>
      <c r="F96" s="11" t="str">
        <f>IFERROR(IF(VLOOKUP(U96,课程清单!A:Q,10,0)="","",VLOOKUP(U96,课程清单!A:Q,10,0)),"")</f>
        <v>必修</v>
      </c>
      <c r="G96" s="11" t="str">
        <f>IFERROR(IF(VLOOKUP(U96,课程清单!A:Q,11,0)="","",VLOOKUP(U96,课程清单!A:Q,11,0)),"")</f>
        <v>考查</v>
      </c>
      <c r="H96" s="11">
        <f>IFERROR(IF(VLOOKUP(U96,课程清单!A:Q,12,0)="","",VLOOKUP(U96,课程清单!A:Q,12,0)),"")</f>
        <v>1.5</v>
      </c>
      <c r="I96" s="11">
        <f>IFERROR(IF(VLOOKUP(U96,课程清单!A:Q,13,0)="","",VLOOKUP(U96,课程清单!A:Q,13,0)),"")</f>
        <v>24</v>
      </c>
      <c r="J96" s="11">
        <f>IFERROR(IF(VLOOKUP(U96,课程清单!A:Q,14,0)="","",VLOOKUP(U96,课程清单!A:Q,14,0)),"")</f>
        <v>24</v>
      </c>
      <c r="K96" s="28">
        <f>IFERROR(IF(VLOOKUP(U96,课程清单!A:Q,15,0)="","",VLOOKUP(U96,课程清单!A:Q,15,0)),"")</f>
        <v>0</v>
      </c>
      <c r="L96" s="26" t="str">
        <f>IFERROR(IF(VLOOKUP(U96,课程清单!A:Q,16,0)=$L$4,VLOOKUP(U96,课程清单!A:Q,17,0),""),"")</f>
        <v/>
      </c>
      <c r="M96" s="11" t="str">
        <f>IFERROR(IF(VLOOKUP(U96,课程清单!A:Q,16,0)=$M$4,VLOOKUP(U96,课程清单!A:Q,17,0),""),"")</f>
        <v/>
      </c>
      <c r="N96" s="11" t="str">
        <f>IFERROR(IF(VLOOKUP(U96,课程清单!A:Q,16,0)=$N$4,VLOOKUP(U96,课程清单!A:Q,17,0),""),"")</f>
        <v/>
      </c>
      <c r="O96" s="11" t="str">
        <f>IFERROR(IF(VLOOKUP(U96,课程清单!A:Q,16,0)=$O$4,VLOOKUP(U96,课程清单!A:Q,17,0),""),"")</f>
        <v/>
      </c>
      <c r="P96" s="11">
        <v>1.5</v>
      </c>
      <c r="Q96" s="11" t="str">
        <f>IFERROR(IF(VLOOKUP(U96,课程清单!A:Q,16,0)=$Q$4,VLOOKUP(U96,课程清单!A:Q,17,0),""),"")</f>
        <v/>
      </c>
      <c r="R96" s="11"/>
      <c r="S96" s="11" t="str">
        <f>IFERROR(IF(VLOOKUP(U96,课程清单!A:Q,16,0)=$S$4,VLOOKUP(U96,课程清单!A:Q,17,0),""),"")</f>
        <v/>
      </c>
      <c r="T96" s="7">
        <v>3</v>
      </c>
      <c r="U96" s="2" t="s">
        <v>377</v>
      </c>
      <c r="V96" s="7">
        <f>C96</f>
        <v>76</v>
      </c>
      <c r="W96" s="7">
        <f>IF(_xlfn.IFNA(MATCH("+*",L96:S96,0),-1)=-1,H96*IF(J96="",0,J96)/I96,0)</f>
        <v>1.5</v>
      </c>
      <c r="X96" s="7">
        <f>IF(_xlfn.IFNA(MATCH("+*",L96:S96,0),-1)=-1,J96,0)</f>
        <v>24</v>
      </c>
      <c r="Y96" s="109">
        <f>IF(_xlfn.IFNA(MATCH("+*",L96:S96,0),-1)=-1,H96*IF(K96="",0,K96)/I96,0)</f>
        <v>0</v>
      </c>
      <c r="Z96" s="109">
        <f>IF(_xlfn.IFNA(MATCH("+*",L96:S96,0),-1)=-1,IF(K96="",0,K96),0)</f>
        <v>0</v>
      </c>
      <c r="AA96" s="109">
        <f>IF(_xlfn.IFNA(MATCH("+*",L96:S96,0),-1)&lt;&gt;-1,H96,0)</f>
        <v>0</v>
      </c>
      <c r="AB96" s="109">
        <f>IF(AA96=0,0,K96)</f>
        <v>0</v>
      </c>
    </row>
    <row r="97" spans="1:28" ht="24" customHeight="1" x14ac:dyDescent="0.3">
      <c r="A97" s="188"/>
      <c r="B97" s="188"/>
      <c r="C97" s="11"/>
      <c r="D97" s="23"/>
      <c r="E97" s="30" t="s">
        <v>361</v>
      </c>
      <c r="F97" s="11"/>
      <c r="G97" s="11"/>
      <c r="H97" s="18">
        <f>SUM(H94:H96)</f>
        <v>5.5</v>
      </c>
      <c r="I97" s="18">
        <f>SUM(I94:I96)</f>
        <v>88</v>
      </c>
      <c r="J97" s="18">
        <f>SUM(J94:J96)</f>
        <v>80</v>
      </c>
      <c r="K97" s="21">
        <f>SUM(K94:K96)</f>
        <v>8</v>
      </c>
      <c r="L97" s="26"/>
      <c r="M97" s="11"/>
      <c r="N97" s="11"/>
      <c r="O97" s="11"/>
      <c r="P97" s="11"/>
      <c r="Q97" s="11"/>
      <c r="R97" s="11"/>
      <c r="S97" s="11"/>
      <c r="Y97" s="109"/>
      <c r="Z97" s="109"/>
      <c r="AA97" s="109"/>
      <c r="AB97" s="109"/>
    </row>
    <row r="98" spans="1:28" ht="24" x14ac:dyDescent="0.3">
      <c r="A98" s="188"/>
      <c r="B98" s="188"/>
      <c r="C98" s="11">
        <f>IF(E98="","",MAX(C$5:C97)+1)</f>
        <v>77</v>
      </c>
      <c r="D98" s="23" t="str">
        <f>IFERROR(IF(VLOOKUP(U98,课程清单!A:Q,7,0)="","",VLOOKUP(U98,课程清单!A:Q,7,0)),"")</f>
        <v/>
      </c>
      <c r="E98" s="12" t="str">
        <f>IFERROR(VLOOKUP(U98,课程清单!A:Q,8,0)&amp;IF(VLOOKUP(U98,课程清单!A:Q,9,0)="","",CHAR(10)&amp;VLOOKUP(U98,课程清单!A:Q,9,0)),"")</f>
        <v>飞行器加工质量控制
Aircraft Processing Quality Control</v>
      </c>
      <c r="F98" s="11" t="str">
        <f>IFERROR(IF(VLOOKUP(U98,课程清单!A:Q,10,0)="","",VLOOKUP(U98,课程清单!A:Q,10,0)),"")</f>
        <v>选修</v>
      </c>
      <c r="G98" s="11" t="str">
        <f>IFERROR(IF(VLOOKUP(U98,课程清单!A:Q,11,0)="","",VLOOKUP(U98,课程清单!A:Q,11,0)),"")</f>
        <v>考查</v>
      </c>
      <c r="H98" s="11">
        <f>IFERROR(IF(VLOOKUP(U98,课程清单!A:Q,12,0)="","",VLOOKUP(U98,课程清单!A:Q,12,0)),"")</f>
        <v>1</v>
      </c>
      <c r="I98" s="11">
        <f>IFERROR(IF(VLOOKUP(U98,课程清单!A:Q,13,0)="","",VLOOKUP(U98,课程清单!A:Q,13,0)),"")</f>
        <v>16</v>
      </c>
      <c r="J98" s="11">
        <f>IFERROR(IF(VLOOKUP(U98,课程清单!A:Q,14,0)="","",VLOOKUP(U98,课程清单!A:Q,14,0)),"")</f>
        <v>16</v>
      </c>
      <c r="K98" s="28">
        <f>IFERROR(IF(VLOOKUP(U98,课程清单!A:Q,15,0)="","",VLOOKUP(U98,课程清单!A:Q,15,0)),"")</f>
        <v>0</v>
      </c>
      <c r="L98" s="26" t="str">
        <f>IFERROR(IF(VLOOKUP(U98,课程清单!A:Q,16,0)=$L$4,VLOOKUP(U98,课程清单!A:Q,17,0),""),"")</f>
        <v/>
      </c>
      <c r="M98" s="11" t="str">
        <f>IFERROR(IF(VLOOKUP(U98,课程清单!A:Q,16,0)=$M$4,VLOOKUP(U98,课程清单!A:Q,17,0),""),"")</f>
        <v/>
      </c>
      <c r="N98" s="11" t="str">
        <f>IFERROR(IF(VLOOKUP(U98,课程清单!A:Q,16,0)=$N$4,VLOOKUP(U98,课程清单!A:Q,17,0),""),"")</f>
        <v/>
      </c>
      <c r="O98" s="11" t="str">
        <f>IFERROR(IF(VLOOKUP(U98,课程清单!A:Q,16,0)=$O$4,VLOOKUP(U98,课程清单!A:Q,17,0),""),"")</f>
        <v/>
      </c>
      <c r="P98" s="11" t="str">
        <f>IFERROR(IF(VLOOKUP(U98,课程清单!A:Q,16,0)=$P$4,VLOOKUP(U98,课程清单!A:Q,17,0),""),"")</f>
        <v/>
      </c>
      <c r="Q98" s="11" t="str">
        <f>IFERROR(IF(VLOOKUP(U98,课程清单!A:Q,16,0)=$Q$4,VLOOKUP(U98,课程清单!A:Q,17,0),""),"")</f>
        <v/>
      </c>
      <c r="R98" s="11">
        <f>IFERROR(IF(VLOOKUP(U98,课程清单!A:Q,16,0)=$R$4,VLOOKUP(U98,课程清单!A:Q,17,0),""),"")</f>
        <v>1</v>
      </c>
      <c r="S98" s="11" t="str">
        <f>IFERROR(IF(VLOOKUP(U98,课程清单!A:Q,16,0)=$S$4,VLOOKUP(U98,课程清单!A:Q,17,0),""),"")</f>
        <v/>
      </c>
      <c r="T98" s="7">
        <v>1</v>
      </c>
      <c r="U98" s="2" t="s">
        <v>378</v>
      </c>
      <c r="V98" s="7">
        <f>C98</f>
        <v>77</v>
      </c>
      <c r="Y98" s="109"/>
      <c r="Z98" s="109"/>
      <c r="AA98" s="109"/>
      <c r="AB98" s="109"/>
    </row>
    <row r="99" spans="1:28" ht="24" x14ac:dyDescent="0.3">
      <c r="A99" s="188"/>
      <c r="B99" s="188"/>
      <c r="C99" s="11">
        <f>IF(E99="","",MAX(C$5:C98)+1)</f>
        <v>78</v>
      </c>
      <c r="D99" s="23" t="str">
        <f>IFERROR(IF(VLOOKUP(U99,课程清单!A:Q,7,0)="","",VLOOKUP(U99,课程清单!A:Q,7,0)),"")</f>
        <v>023032P1</v>
      </c>
      <c r="E99" s="12" t="str">
        <f>IFERROR(VLOOKUP(U99,课程清单!A:Q,8,0)&amp;IF(VLOOKUP(U99,课程清单!A:Q,9,0)="","",CHAR(10)&amp;VLOOKUP(U99,课程清单!A:Q,9,0)),"")</f>
        <v>工业机器人
Industrial Robot</v>
      </c>
      <c r="F99" s="11" t="str">
        <f>IFERROR(IF(VLOOKUP(U99,课程清单!A:Q,10,0)="","",VLOOKUP(U99,课程清单!A:Q,10,0)),"")</f>
        <v>选修</v>
      </c>
      <c r="G99" s="11" t="str">
        <f>IFERROR(IF(VLOOKUP(U99,课程清单!A:Q,11,0)="","",VLOOKUP(U99,课程清单!A:Q,11,0)),"")</f>
        <v>考查</v>
      </c>
      <c r="H99" s="11">
        <f>IFERROR(IF(VLOOKUP(U99,课程清单!A:Q,12,0)="","",VLOOKUP(U99,课程清单!A:Q,12,0)),"")</f>
        <v>2</v>
      </c>
      <c r="I99" s="11">
        <f>IFERROR(IF(VLOOKUP(U99,课程清单!A:Q,13,0)="","",VLOOKUP(U99,课程清单!A:Q,13,0)),"")</f>
        <v>32</v>
      </c>
      <c r="J99" s="11">
        <f>IFERROR(IF(VLOOKUP(U99,课程清单!A:Q,14,0)="","",VLOOKUP(U99,课程清单!A:Q,14,0)),"")</f>
        <v>24</v>
      </c>
      <c r="K99" s="28">
        <f>IFERROR(IF(VLOOKUP(U99,课程清单!A:Q,15,0)="","",VLOOKUP(U99,课程清单!A:Q,15,0)),"")</f>
        <v>8</v>
      </c>
      <c r="L99" s="26" t="str">
        <f>IFERROR(IF(VLOOKUP(U99,课程清单!A:Q,16,0)=$L$4,VLOOKUP(U99,课程清单!A:Q,17,0),""),"")</f>
        <v/>
      </c>
      <c r="M99" s="11" t="str">
        <f>IFERROR(IF(VLOOKUP(U99,课程清单!A:Q,16,0)=$M$4,VLOOKUP(U99,课程清单!A:Q,17,0),""),"")</f>
        <v/>
      </c>
      <c r="N99" s="11" t="str">
        <f>IFERROR(IF(VLOOKUP(U99,课程清单!A:Q,16,0)=$N$4,VLOOKUP(U99,课程清单!A:Q,17,0),""),"")</f>
        <v/>
      </c>
      <c r="O99" s="11" t="str">
        <f>IFERROR(IF(VLOOKUP(U99,课程清单!A:Q,16,0)=$O$4,VLOOKUP(U99,课程清单!A:Q,17,0),""),"")</f>
        <v/>
      </c>
      <c r="P99" s="11" t="str">
        <f>IFERROR(IF(VLOOKUP(U99,课程清单!A:Q,16,0)=$P$4,VLOOKUP(U99,课程清单!A:Q,17,0),""),"")</f>
        <v/>
      </c>
      <c r="Q99" s="11" t="str">
        <f>IFERROR(IF(VLOOKUP(U99,课程清单!A:Q,16,0)=$Q$4,VLOOKUP(U99,课程清单!A:Q,17,0),""),"")</f>
        <v/>
      </c>
      <c r="R99" s="11">
        <f>IFERROR(IF(VLOOKUP(U99,课程清单!A:Q,16,0)=$R$4,VLOOKUP(U99,课程清单!A:Q,17,0),""),"")</f>
        <v>2</v>
      </c>
      <c r="S99" s="11" t="str">
        <f>IFERROR(IF(VLOOKUP(U99,课程清单!A:Q,16,0)=$S$4,VLOOKUP(U99,课程清单!A:Q,17,0),""),"")</f>
        <v/>
      </c>
      <c r="T99" s="7">
        <v>2</v>
      </c>
      <c r="U99" s="2" t="s">
        <v>379</v>
      </c>
      <c r="V99" s="7">
        <f>C99</f>
        <v>78</v>
      </c>
      <c r="Y99" s="109"/>
      <c r="Z99" s="109"/>
      <c r="AA99" s="109"/>
      <c r="AB99" s="109"/>
    </row>
    <row r="100" spans="1:28" ht="24" x14ac:dyDescent="0.3">
      <c r="A100" s="188"/>
      <c r="B100" s="188"/>
      <c r="C100" s="11">
        <f>IF(E100="","",MAX(C$5:C99)+1)</f>
        <v>79</v>
      </c>
      <c r="D100" s="23" t="str">
        <f>IFERROR(IF(VLOOKUP(U100,课程清单!A:Q,7,0)="","",VLOOKUP(U100,课程清单!A:Q,7,0)),"")</f>
        <v/>
      </c>
      <c r="E100" s="12" t="str">
        <f>IFERROR(VLOOKUP(U100,课程清单!A:Q,8,0)&amp;IF(VLOOKUP(U100,课程清单!A:Q,9,0)="","",CHAR(10)&amp;VLOOKUP(U100,课程清单!A:Q,9,0)),"")</f>
        <v>单片机原理与接口技术
MCU Principle and Interface Technology</v>
      </c>
      <c r="F100" s="11" t="str">
        <f>IFERROR(IF(VLOOKUP(U100,课程清单!A:Q,10,0)="","",VLOOKUP(U100,课程清单!A:Q,10,0)),"")</f>
        <v>选修</v>
      </c>
      <c r="G100" s="11" t="str">
        <f>IFERROR(IF(VLOOKUP(U100,课程清单!A:Q,11,0)="","",VLOOKUP(U100,课程清单!A:Q,11,0)),"")</f>
        <v>考试</v>
      </c>
      <c r="H100" s="11">
        <f>IFERROR(IF(VLOOKUP(U100,课程清单!A:Q,12,0)="","",VLOOKUP(U100,课程清单!A:Q,12,0)),"")</f>
        <v>2</v>
      </c>
      <c r="I100" s="11">
        <f>IFERROR(IF(VLOOKUP(U100,课程清单!A:Q,13,0)="","",VLOOKUP(U100,课程清单!A:Q,13,0)),"")</f>
        <v>32</v>
      </c>
      <c r="J100" s="11">
        <f>IFERROR(IF(VLOOKUP(U100,课程清单!A:Q,14,0)="","",VLOOKUP(U100,课程清单!A:Q,14,0)),"")</f>
        <v>28</v>
      </c>
      <c r="K100" s="28">
        <f>IFERROR(IF(VLOOKUP(U100,课程清单!A:Q,15,0)="","",VLOOKUP(U100,课程清单!A:Q,15,0)),"")</f>
        <v>4</v>
      </c>
      <c r="L100" s="26" t="str">
        <f>IFERROR(IF(VLOOKUP(U100,课程清单!A:Q,16,0)=$L$4,VLOOKUP(U100,课程清单!A:Q,17,0),""),"")</f>
        <v/>
      </c>
      <c r="M100" s="11" t="str">
        <f>IFERROR(IF(VLOOKUP(U100,课程清单!A:Q,16,0)=$M$4,VLOOKUP(U100,课程清单!A:Q,17,0),""),"")</f>
        <v/>
      </c>
      <c r="N100" s="11" t="str">
        <f>IFERROR(IF(VLOOKUP(U100,课程清单!A:Q,16,0)=$N$4,VLOOKUP(U100,课程清单!A:Q,17,0),""),"")</f>
        <v/>
      </c>
      <c r="O100" s="11" t="str">
        <f>IFERROR(IF(VLOOKUP(U100,课程清单!A:Q,16,0)=$O$4,VLOOKUP(U100,课程清单!A:Q,17,0),""),"")</f>
        <v/>
      </c>
      <c r="P100" s="11" t="str">
        <f>IFERROR(IF(VLOOKUP(U100,课程清单!A:Q,16,0)=$P$4,VLOOKUP(U100,课程清单!A:Q,17,0),""),"")</f>
        <v/>
      </c>
      <c r="Q100" s="11">
        <f>IFERROR(IF(VLOOKUP(U100,课程清单!A:Q,16,0)=$Q$4,VLOOKUP(U100,课程清单!A:Q,17,0),""),"")</f>
        <v>2</v>
      </c>
      <c r="R100" s="11" t="str">
        <f>IFERROR(IF(VLOOKUP(U100,课程清单!A:Q,16,0)=$R$4,VLOOKUP(U100,课程清单!A:Q,17,0),""),"")</f>
        <v/>
      </c>
      <c r="S100" s="11" t="str">
        <f>IFERROR(IF(VLOOKUP(U100,课程清单!A:Q,16,0)=$S$4,VLOOKUP(U100,课程清单!A:Q,17,0),""),"")</f>
        <v/>
      </c>
      <c r="T100" s="7">
        <v>3</v>
      </c>
      <c r="U100" s="2" t="s">
        <v>380</v>
      </c>
      <c r="V100" s="7">
        <f>C100</f>
        <v>79</v>
      </c>
      <c r="Y100" s="109"/>
      <c r="Z100" s="109"/>
      <c r="AA100" s="109"/>
      <c r="AB100" s="109"/>
    </row>
    <row r="101" spans="1:28" ht="24" customHeight="1" x14ac:dyDescent="0.3">
      <c r="A101" s="188"/>
      <c r="B101" s="188"/>
      <c r="C101" s="186" t="s">
        <v>381</v>
      </c>
      <c r="D101" s="187"/>
      <c r="E101" s="187"/>
      <c r="F101" s="187"/>
      <c r="G101" s="187"/>
      <c r="H101" s="104">
        <f>SUM(H97 )</f>
        <v>5.5</v>
      </c>
      <c r="I101" s="104">
        <f>SUM(I97 )</f>
        <v>88</v>
      </c>
      <c r="J101" s="104">
        <f>SUM(J97 )</f>
        <v>80</v>
      </c>
      <c r="K101" s="105">
        <f>SUM(K97 )</f>
        <v>8</v>
      </c>
      <c r="L101" s="106">
        <f>SUMIFS(L94:L100,F94:F100,"必修" )</f>
        <v>0</v>
      </c>
      <c r="M101" s="104">
        <f>SUMIFS(M94:M100,F94:F100,"必修" )</f>
        <v>0</v>
      </c>
      <c r="N101" s="104">
        <f>SUMIFS(N94:N100,F94:F100,"必修" )</f>
        <v>0</v>
      </c>
      <c r="O101" s="104">
        <f>SUMIFS(O94:O100,F94:F100,"必修" )</f>
        <v>0</v>
      </c>
      <c r="P101" s="104">
        <f>SUMIFS(P94:P100,F94:F100,"必修" )</f>
        <v>5.5</v>
      </c>
      <c r="Q101" s="104">
        <f>SUMIFS(Q94:Q100,F94:F100,"必修" )</f>
        <v>0</v>
      </c>
      <c r="R101" s="104">
        <f>SUMIFS(R94:R100,F94:F100,"必修" )</f>
        <v>0</v>
      </c>
      <c r="S101" s="104">
        <f>SUMIFS(S94:S100,F94:F100,"必修" )</f>
        <v>0</v>
      </c>
      <c r="Y101" s="109"/>
      <c r="Z101" s="109"/>
      <c r="AA101" s="109"/>
      <c r="AB101" s="109"/>
    </row>
    <row r="102" spans="1:28" ht="24" x14ac:dyDescent="0.3">
      <c r="A102" s="188" t="s">
        <v>43</v>
      </c>
      <c r="B102" s="188" t="s">
        <v>56</v>
      </c>
      <c r="C102" s="11">
        <f>IF(E102="","",MAX(C$5:C101)+1)</f>
        <v>80</v>
      </c>
      <c r="D102" s="23" t="str">
        <f>IFERROR(IF(VLOOKUP(U102,课程清单!A:Q,7,0)="","",VLOOKUP(U102,课程清单!A:Q,7,0)),"")</f>
        <v>023014Q1</v>
      </c>
      <c r="E102" s="12" t="str">
        <f>IFERROR(VLOOKUP(U102,课程清单!A:Q,8,0)&amp;IF(VLOOKUP(U102,课程清单!A:Q,9,0)="","",CHAR(10)&amp;VLOOKUP(U102,课程清单!A:Q,9,0)),"")</f>
        <v>机械制图测绘
Mechanical Drawing</v>
      </c>
      <c r="F102" s="11" t="str">
        <f>IFERROR(IF(VLOOKUP(U102,课程清单!A:Q,10,0)="","",VLOOKUP(U102,课程清单!A:Q,10,0)),"")</f>
        <v>必修</v>
      </c>
      <c r="G102" s="11" t="str">
        <f>IFERROR(IF(VLOOKUP(U102,课程清单!A:Q,11,0)="","",VLOOKUP(U102,课程清单!A:Q,11,0)),"")</f>
        <v>考查</v>
      </c>
      <c r="H102" s="11">
        <f>IFERROR(IF(VLOOKUP(U102,课程清单!A:Q,12,0)="","",VLOOKUP(U102,课程清单!A:Q,12,0)),"")</f>
        <v>1</v>
      </c>
      <c r="I102" s="11">
        <f>IFERROR(IF(VLOOKUP(U102,课程清单!A:Q,13,0)="","",VLOOKUP(U102,课程清单!A:Q,13,0)),"")</f>
        <v>20</v>
      </c>
      <c r="J102" s="11">
        <f>IFERROR(IF(VLOOKUP(U102,课程清单!A:Q,14,0)="","",VLOOKUP(U102,课程清单!A:Q,14,0)),"")</f>
        <v>0</v>
      </c>
      <c r="K102" s="28">
        <f>IFERROR(IF(VLOOKUP(U102,课程清单!A:Q,15,0)="","",VLOOKUP(U102,课程清单!A:Q,15,0)),"")</f>
        <v>20</v>
      </c>
      <c r="L102" s="26" t="str">
        <f>IFERROR(IF(VLOOKUP(U102,课程清单!A:Q,16,0)=$L$4,VLOOKUP(U102,课程清单!A:Q,17,0),""),"")</f>
        <v/>
      </c>
      <c r="M102" s="11">
        <f>IFERROR(IF(VLOOKUP(U102,课程清单!A:Q,16,0)=$M$4,VLOOKUP(U102,课程清单!A:Q,17,0),""),"")</f>
        <v>1</v>
      </c>
      <c r="N102" s="11" t="str">
        <f>IFERROR(IF(VLOOKUP(U102,课程清单!A:Q,16,0)=$N$4,VLOOKUP(U102,课程清单!A:Q,17,0),""),"")</f>
        <v/>
      </c>
      <c r="O102" s="11" t="str">
        <f>IFERROR(IF(VLOOKUP(U102,课程清单!A:Q,16,0)=$O$4,VLOOKUP(U102,课程清单!A:Q,17,0),""),"")</f>
        <v/>
      </c>
      <c r="P102" s="11" t="str">
        <f>IFERROR(IF(VLOOKUP(U102,课程清单!A:Q,16,0)=$P$4,VLOOKUP(U102,课程清单!A:Q,17,0),""),"")</f>
        <v/>
      </c>
      <c r="Q102" s="11" t="str">
        <f>IFERROR(IF(VLOOKUP(U102,课程清单!A:Q,16,0)=$Q$4,VLOOKUP(U102,课程清单!A:Q,17,0),""),"")</f>
        <v/>
      </c>
      <c r="R102" s="11" t="str">
        <f>IFERROR(IF(VLOOKUP(U102,课程清单!A:Q,16,0)=$R$4,VLOOKUP(U102,课程清单!A:Q,17,0),""),"")</f>
        <v/>
      </c>
      <c r="S102" s="11" t="str">
        <f>IFERROR(IF(VLOOKUP(U102,课程清单!A:Q,16,0)=$S$4,VLOOKUP(U102,课程清单!A:Q,17,0),""),"")</f>
        <v/>
      </c>
      <c r="T102" s="7">
        <v>1</v>
      </c>
      <c r="U102" s="2" t="s">
        <v>382</v>
      </c>
      <c r="V102" s="7">
        <f t="shared" ref="V102:V115" si="71">C102</f>
        <v>80</v>
      </c>
      <c r="W102" s="7">
        <f t="shared" ref="W102:W115" si="72">IF(_xlfn.IFNA(MATCH("+*",L102:S102,0),-1)=-1,H102*IF(J102="",0,J102)/I102,0)</f>
        <v>0</v>
      </c>
      <c r="X102" s="7">
        <f t="shared" ref="X102:X115" si="73">IF(_xlfn.IFNA(MATCH("+*",L102:S102,0),-1)=-1,J102,0)</f>
        <v>0</v>
      </c>
      <c r="Y102" s="109">
        <f t="shared" ref="Y102:Y115" si="74">IF(_xlfn.IFNA(MATCH("+*",L102:S102,0),-1)=-1,H102*IF(K102="",0,K102)/I102,0)</f>
        <v>1</v>
      </c>
      <c r="Z102" s="109">
        <f t="shared" ref="Z102:Z115" si="75">IF(_xlfn.IFNA(MATCH("+*",L102:S102,0),-1)=-1,IF(K102="",0,K102),0)</f>
        <v>20</v>
      </c>
      <c r="AA102" s="109">
        <f t="shared" ref="AA102:AA115" si="76">IF(_xlfn.IFNA(MATCH("+*",L102:S102,0),-1)&lt;&gt;-1,H102,0)</f>
        <v>0</v>
      </c>
      <c r="AB102" s="109">
        <f t="shared" ref="AB102:AB115" si="77">IF(AA102=0,0,K102)</f>
        <v>0</v>
      </c>
    </row>
    <row r="103" spans="1:28" ht="24" x14ac:dyDescent="0.3">
      <c r="A103" s="188"/>
      <c r="B103" s="188"/>
      <c r="C103" s="11">
        <f>IF(E103="","",MAX(C$5:C102)+1)</f>
        <v>81</v>
      </c>
      <c r="D103" s="23" t="str">
        <f>IFERROR(IF(VLOOKUP(U103,课程清单!A:Q,7,0)="","",VLOOKUP(U103,课程清单!A:Q,7,0)),"")</f>
        <v/>
      </c>
      <c r="E103" s="12" t="str">
        <f>IFERROR(VLOOKUP(U103,课程清单!A:Q,8,0)&amp;IF(VLOOKUP(U103,课程清单!A:Q,9,0)="","",CHAR(10)&amp;VLOOKUP(U103,课程清单!A:Q,9,0)),"")</f>
        <v>认识实习
Cognition Practice</v>
      </c>
      <c r="F103" s="11" t="str">
        <f>IFERROR(IF(VLOOKUP(U103,课程清单!A:Q,10,0)="","",VLOOKUP(U103,课程清单!A:Q,10,0)),"")</f>
        <v>必修</v>
      </c>
      <c r="G103" s="11" t="str">
        <f>IFERROR(IF(VLOOKUP(U103,课程清单!A:Q,11,0)="","",VLOOKUP(U103,课程清单!A:Q,11,0)),"")</f>
        <v>考查</v>
      </c>
      <c r="H103" s="11">
        <f>IFERROR(IF(VLOOKUP(U103,课程清单!A:Q,12,0)="","",VLOOKUP(U103,课程清单!A:Q,12,0)),"")</f>
        <v>2</v>
      </c>
      <c r="I103" s="11">
        <f>IFERROR(IF(VLOOKUP(U103,课程清单!A:Q,13,0)="","",VLOOKUP(U103,课程清单!A:Q,13,0)),"")</f>
        <v>40</v>
      </c>
      <c r="J103" s="11">
        <f>IFERROR(IF(VLOOKUP(U103,课程清单!A:Q,14,0)="","",VLOOKUP(U103,课程清单!A:Q,14,0)),"")</f>
        <v>0</v>
      </c>
      <c r="K103" s="28">
        <f>IFERROR(IF(VLOOKUP(U103,课程清单!A:Q,15,0)="","",VLOOKUP(U103,课程清单!A:Q,15,0)),"")</f>
        <v>40</v>
      </c>
      <c r="L103" s="26" t="str">
        <f>IFERROR(IF(VLOOKUP(U103,课程清单!A:Q,16,0)=$L$4,VLOOKUP(U103,课程清单!A:Q,17,0),""),"")</f>
        <v/>
      </c>
      <c r="M103" s="11" t="str">
        <f>IFERROR(IF(VLOOKUP(U103,课程清单!A:Q,16,0)=$M$4,VLOOKUP(U103,课程清单!A:Q,17,0),""),"")</f>
        <v>+2</v>
      </c>
      <c r="N103" s="11" t="str">
        <f>IFERROR(IF(VLOOKUP(U103,课程清单!A:Q,16,0)=$N$4,VLOOKUP(U103,课程清单!A:Q,17,0),""),"")</f>
        <v/>
      </c>
      <c r="O103" s="11" t="str">
        <f>IFERROR(IF(VLOOKUP(U103,课程清单!A:Q,16,0)=$O$4,VLOOKUP(U103,课程清单!A:Q,17,0),""),"")</f>
        <v/>
      </c>
      <c r="P103" s="11" t="str">
        <f>IFERROR(IF(VLOOKUP(U103,课程清单!A:Q,16,0)=$P$4,VLOOKUP(U103,课程清单!A:Q,17,0),""),"")</f>
        <v/>
      </c>
      <c r="Q103" s="11" t="str">
        <f>IFERROR(IF(VLOOKUP(U103,课程清单!A:Q,16,0)=$Q$4,VLOOKUP(U103,课程清单!A:Q,17,0),""),"")</f>
        <v/>
      </c>
      <c r="R103" s="11" t="str">
        <f>IFERROR(IF(VLOOKUP(U103,课程清单!A:Q,16,0)=$R$4,VLOOKUP(U103,课程清单!A:Q,17,0),""),"")</f>
        <v/>
      </c>
      <c r="S103" s="11" t="str">
        <f>IFERROR(IF(VLOOKUP(U103,课程清单!A:Q,16,0)=$S$4,VLOOKUP(U103,课程清单!A:Q,17,0),""),"")</f>
        <v/>
      </c>
      <c r="T103" s="7">
        <v>2</v>
      </c>
      <c r="U103" s="2" t="s">
        <v>383</v>
      </c>
      <c r="V103" s="7">
        <f t="shared" si="71"/>
        <v>81</v>
      </c>
      <c r="W103" s="7">
        <f t="shared" si="72"/>
        <v>0</v>
      </c>
      <c r="X103" s="7">
        <f t="shared" si="73"/>
        <v>0</v>
      </c>
      <c r="Y103" s="109">
        <f t="shared" si="74"/>
        <v>0</v>
      </c>
      <c r="Z103" s="109">
        <f t="shared" si="75"/>
        <v>0</v>
      </c>
      <c r="AA103" s="109">
        <f t="shared" si="76"/>
        <v>2</v>
      </c>
      <c r="AB103" s="109">
        <f t="shared" si="77"/>
        <v>40</v>
      </c>
    </row>
    <row r="104" spans="1:28" ht="24" x14ac:dyDescent="0.3">
      <c r="A104" s="188"/>
      <c r="B104" s="188"/>
      <c r="C104" s="11">
        <f>IF(E104="","",MAX(C$5:C103)+1)</f>
        <v>82</v>
      </c>
      <c r="D104" s="23" t="str">
        <f>IFERROR(IF(VLOOKUP(U104,课程清单!A:Q,7,0)="","",VLOOKUP(U104,课程清单!A:Q,7,0)),"")</f>
        <v>593001X1</v>
      </c>
      <c r="E104" s="12" t="str">
        <f>IFERROR(VLOOKUP(U104,课程清单!A:Q,8,0)&amp;IF(VLOOKUP(U104,课程清单!A:Q,9,0)="","",CHAR(10)&amp;VLOOKUP(U104,课程清单!A:Q,9,0)),"")</f>
        <v>工科基本训练（钳工）
Engineering  BasicTraining(Turning and Benching)</v>
      </c>
      <c r="F104" s="11" t="str">
        <f>IFERROR(IF(VLOOKUP(U104,课程清单!A:Q,10,0)="","",VLOOKUP(U104,课程清单!A:Q,10,0)),"")</f>
        <v>必修</v>
      </c>
      <c r="G104" s="11" t="str">
        <f>IFERROR(IF(VLOOKUP(U104,课程清单!A:Q,11,0)="","",VLOOKUP(U104,课程清单!A:Q,11,0)),"")</f>
        <v>考查</v>
      </c>
      <c r="H104" s="11">
        <f>IFERROR(IF(VLOOKUP(U104,课程清单!A:Q,12,0)="","",VLOOKUP(U104,课程清单!A:Q,12,0)),"")</f>
        <v>1</v>
      </c>
      <c r="I104" s="11">
        <f>IFERROR(IF(VLOOKUP(U104,课程清单!A:Q,13,0)="","",VLOOKUP(U104,课程清单!A:Q,13,0)),"")</f>
        <v>32</v>
      </c>
      <c r="J104" s="11">
        <f>IFERROR(IF(VLOOKUP(U104,课程清单!A:Q,14,0)="","",VLOOKUP(U104,课程清单!A:Q,14,0)),"")</f>
        <v>0</v>
      </c>
      <c r="K104" s="28">
        <f>IFERROR(IF(VLOOKUP(U104,课程清单!A:Q,15,0)="","",VLOOKUP(U104,课程清单!A:Q,15,0)),"")</f>
        <v>32</v>
      </c>
      <c r="L104" s="26" t="str">
        <f>IFERROR(IF(VLOOKUP(U104,课程清单!A:Q,16,0)=$L$4,VLOOKUP(U104,课程清单!A:Q,17,0),""),"")</f>
        <v/>
      </c>
      <c r="M104" s="11" t="str">
        <f>IFERROR(IF(VLOOKUP(U104,课程清单!A:Q,16,0)=$M$4,VLOOKUP(U104,课程清单!A:Q,17,0),""),"")</f>
        <v/>
      </c>
      <c r="N104" s="11">
        <f>IFERROR(IF(VLOOKUP(U104,课程清单!A:Q,16,0)=$N$4,VLOOKUP(U104,课程清单!A:Q,17,0),""),"")</f>
        <v>2</v>
      </c>
      <c r="O104" s="11" t="str">
        <f>IFERROR(IF(VLOOKUP(U104,课程清单!A:Q,16,0)=$O$4,VLOOKUP(U104,课程清单!A:Q,17,0),""),"")</f>
        <v/>
      </c>
      <c r="P104" s="11" t="str">
        <f>IFERROR(IF(VLOOKUP(U104,课程清单!A:Q,16,0)=$P$4,VLOOKUP(U104,课程清单!A:Q,17,0),""),"")</f>
        <v/>
      </c>
      <c r="Q104" s="11" t="str">
        <f>IFERROR(IF(VLOOKUP(U104,课程清单!A:Q,16,0)=$Q$4,VLOOKUP(U104,课程清单!A:Q,17,0),""),"")</f>
        <v/>
      </c>
      <c r="R104" s="11" t="str">
        <f>IFERROR(IF(VLOOKUP(U104,课程清单!A:Q,16,0)=$R$4,VLOOKUP(U104,课程清单!A:Q,17,0),""),"")</f>
        <v/>
      </c>
      <c r="S104" s="11" t="str">
        <f>IFERROR(IF(VLOOKUP(U104,课程清单!A:Q,16,0)=$S$4,VLOOKUP(U104,课程清单!A:Q,17,0),""),"")</f>
        <v/>
      </c>
      <c r="T104" s="7">
        <v>3</v>
      </c>
      <c r="U104" s="2" t="s">
        <v>384</v>
      </c>
      <c r="V104" s="7">
        <f t="shared" si="71"/>
        <v>82</v>
      </c>
      <c r="W104" s="7">
        <f t="shared" si="72"/>
        <v>0</v>
      </c>
      <c r="X104" s="7">
        <f t="shared" si="73"/>
        <v>0</v>
      </c>
      <c r="Y104" s="109">
        <f t="shared" si="74"/>
        <v>1</v>
      </c>
      <c r="Z104" s="109">
        <f t="shared" si="75"/>
        <v>32</v>
      </c>
      <c r="AA104" s="109">
        <f t="shared" si="76"/>
        <v>0</v>
      </c>
      <c r="AB104" s="109">
        <f t="shared" si="77"/>
        <v>0</v>
      </c>
    </row>
    <row r="105" spans="1:28" ht="24" x14ac:dyDescent="0.3">
      <c r="A105" s="188"/>
      <c r="B105" s="188"/>
      <c r="C105" s="11">
        <f>IF(E105="","",MAX(C$5:C104)+1)</f>
        <v>83</v>
      </c>
      <c r="D105" s="23" t="str">
        <f>IFERROR(IF(VLOOKUP(U105,课程清单!A:Q,7,0)="","",VLOOKUP(U105,课程清单!A:Q,7,0)),"")</f>
        <v>593001X3</v>
      </c>
      <c r="E105" s="12" t="str">
        <f>IFERROR(VLOOKUP(U105,课程清单!A:Q,8,0)&amp;IF(VLOOKUP(U105,课程清单!A:Q,9,0)="","",CHAR(10)&amp;VLOOKUP(U105,课程清单!A:Q,9,0)),"")</f>
        <v>工科基本训练（数控加工）
Engineering Basic Training(NC Machining)</v>
      </c>
      <c r="F105" s="11" t="str">
        <f>IFERROR(IF(VLOOKUP(U105,课程清单!A:Q,10,0)="","",VLOOKUP(U105,课程清单!A:Q,10,0)),"")</f>
        <v>必修</v>
      </c>
      <c r="G105" s="11" t="str">
        <f>IFERROR(IF(VLOOKUP(U105,课程清单!A:Q,11,0)="","",VLOOKUP(U105,课程清单!A:Q,11,0)),"")</f>
        <v>考查</v>
      </c>
      <c r="H105" s="11">
        <f>IFERROR(IF(VLOOKUP(U105,课程清单!A:Q,12,0)="","",VLOOKUP(U105,课程清单!A:Q,12,0)),"")</f>
        <v>1</v>
      </c>
      <c r="I105" s="11">
        <f>IFERROR(IF(VLOOKUP(U105,课程清单!A:Q,13,0)="","",VLOOKUP(U105,课程清单!A:Q,13,0)),"")</f>
        <v>32</v>
      </c>
      <c r="J105" s="11">
        <f>IFERROR(IF(VLOOKUP(U105,课程清单!A:Q,14,0)="","",VLOOKUP(U105,课程清单!A:Q,14,0)),"")</f>
        <v>0</v>
      </c>
      <c r="K105" s="28">
        <f>IFERROR(IF(VLOOKUP(U105,课程清单!A:Q,15,0)="","",VLOOKUP(U105,课程清单!A:Q,15,0)),"")</f>
        <v>32</v>
      </c>
      <c r="L105" s="26" t="str">
        <f>IFERROR(IF(VLOOKUP(U105,课程清单!A:Q,16,0)=$L$4,VLOOKUP(U105,课程清单!A:Q,17,0),""),"")</f>
        <v/>
      </c>
      <c r="M105" s="11" t="str">
        <f>IFERROR(IF(VLOOKUP(U105,课程清单!A:Q,16,0)=$M$4,VLOOKUP(U105,课程清单!A:Q,17,0),""),"")</f>
        <v/>
      </c>
      <c r="N105" s="11">
        <f>IFERROR(IF(VLOOKUP(U105,课程清单!A:Q,16,0)=$N$4,VLOOKUP(U105,课程清单!A:Q,17,0),""),"")</f>
        <v>2</v>
      </c>
      <c r="O105" s="11" t="str">
        <f>IFERROR(IF(VLOOKUP(U105,课程清单!A:Q,16,0)=$O$4,VLOOKUP(U105,课程清单!A:Q,17,0),""),"")</f>
        <v/>
      </c>
      <c r="P105" s="11" t="str">
        <f>IFERROR(IF(VLOOKUP(U105,课程清单!A:Q,16,0)=$P$4,VLOOKUP(U105,课程清单!A:Q,17,0),""),"")</f>
        <v/>
      </c>
      <c r="Q105" s="11" t="str">
        <f>IFERROR(IF(VLOOKUP(U105,课程清单!A:Q,16,0)=$Q$4,VLOOKUP(U105,课程清单!A:Q,17,0),""),"")</f>
        <v/>
      </c>
      <c r="R105" s="11" t="str">
        <f>IFERROR(IF(VLOOKUP(U105,课程清单!A:Q,16,0)=$R$4,VLOOKUP(U105,课程清单!A:Q,17,0),""),"")</f>
        <v/>
      </c>
      <c r="S105" s="11" t="str">
        <f>IFERROR(IF(VLOOKUP(U105,课程清单!A:Q,16,0)=$S$4,VLOOKUP(U105,课程清单!A:Q,17,0),""),"")</f>
        <v/>
      </c>
      <c r="T105" s="7">
        <v>4</v>
      </c>
      <c r="U105" s="2" t="s">
        <v>385</v>
      </c>
      <c r="V105" s="7">
        <f t="shared" si="71"/>
        <v>83</v>
      </c>
      <c r="W105" s="7">
        <f t="shared" si="72"/>
        <v>0</v>
      </c>
      <c r="X105" s="7">
        <f t="shared" si="73"/>
        <v>0</v>
      </c>
      <c r="Y105" s="109">
        <f t="shared" si="74"/>
        <v>1</v>
      </c>
      <c r="Z105" s="109">
        <f t="shared" si="75"/>
        <v>32</v>
      </c>
      <c r="AA105" s="109">
        <f t="shared" si="76"/>
        <v>0</v>
      </c>
      <c r="AB105" s="109">
        <f t="shared" si="77"/>
        <v>0</v>
      </c>
    </row>
    <row r="106" spans="1:28" ht="36" x14ac:dyDescent="0.3">
      <c r="A106" s="188"/>
      <c r="B106" s="188"/>
      <c r="C106" s="11">
        <f>IF(E106="","",MAX(C$5:C105)+1)</f>
        <v>84</v>
      </c>
      <c r="D106" s="23" t="str">
        <f>IFERROR(IF(VLOOKUP(U106,课程清单!A:Q,7,0)="","",VLOOKUP(U106,课程清单!A:Q,7,0)),"")</f>
        <v>593001X4</v>
      </c>
      <c r="E106" s="12" t="str">
        <f>IFERROR(VLOOKUP(U106,课程清单!A:Q,8,0)&amp;IF(VLOOKUP(U106,课程清单!A:Q,9,0)="","",CHAR(10)&amp;VLOOKUP(U106,课程清单!A:Q,9,0)),"")</f>
        <v>工科基本训练（精加工及数控特种加工）
Engineering Basic Trainin (Finish Machining and NC Special Machining)</v>
      </c>
      <c r="F106" s="11" t="str">
        <f>IFERROR(IF(VLOOKUP(U106,课程清单!A:Q,10,0)="","",VLOOKUP(U106,课程清单!A:Q,10,0)),"")</f>
        <v>必修</v>
      </c>
      <c r="G106" s="11" t="str">
        <f>IFERROR(IF(VLOOKUP(U106,课程清单!A:Q,11,0)="","",VLOOKUP(U106,课程清单!A:Q,11,0)),"")</f>
        <v>考查</v>
      </c>
      <c r="H106" s="11">
        <f>IFERROR(IF(VLOOKUP(U106,课程清单!A:Q,12,0)="","",VLOOKUP(U106,课程清单!A:Q,12,0)),"")</f>
        <v>1</v>
      </c>
      <c r="I106" s="11">
        <f>IFERROR(IF(VLOOKUP(U106,课程清单!A:Q,13,0)="","",VLOOKUP(U106,课程清单!A:Q,13,0)),"")</f>
        <v>32</v>
      </c>
      <c r="J106" s="11">
        <f>IFERROR(IF(VLOOKUP(U106,课程清单!A:Q,14,0)="","",VLOOKUP(U106,课程清单!A:Q,14,0)),"")</f>
        <v>0</v>
      </c>
      <c r="K106" s="28">
        <f>IFERROR(IF(VLOOKUP(U106,课程清单!A:Q,15,0)="","",VLOOKUP(U106,课程清单!A:Q,15,0)),"")</f>
        <v>32</v>
      </c>
      <c r="L106" s="26" t="str">
        <f>IFERROR(IF(VLOOKUP(U106,课程清单!A:Q,16,0)=$L$4,VLOOKUP(U106,课程清单!A:Q,17,0),""),"")</f>
        <v/>
      </c>
      <c r="M106" s="11" t="str">
        <f>IFERROR(IF(VLOOKUP(U106,课程清单!A:Q,16,0)=$M$4,VLOOKUP(U106,课程清单!A:Q,17,0),""),"")</f>
        <v/>
      </c>
      <c r="N106" s="11" t="str">
        <f>IFERROR(IF(VLOOKUP(U106,课程清单!A:Q,16,0)=$N$4,VLOOKUP(U106,课程清单!A:Q,17,0),""),"")</f>
        <v/>
      </c>
      <c r="O106" s="11" t="str">
        <f>IFERROR(IF(VLOOKUP(U106,课程清单!A:Q,16,0)=$O$4,VLOOKUP(U106,课程清单!A:Q,17,0),""),"")</f>
        <v/>
      </c>
      <c r="P106" s="11" t="str">
        <f>IFERROR(IF(VLOOKUP(U106,课程清单!A:Q,16,0)=$P$4,VLOOKUP(U106,课程清单!A:Q,17,0),""),"")</f>
        <v/>
      </c>
      <c r="Q106" s="11">
        <f>IFERROR(IF(VLOOKUP(U106,课程清单!A:Q,16,0)=$Q$4,VLOOKUP(U106,课程清单!A:Q,17,0),""),"")</f>
        <v>2</v>
      </c>
      <c r="R106" s="11" t="str">
        <f>IFERROR(IF(VLOOKUP(U106,课程清单!A:Q,16,0)=$R$4,VLOOKUP(U106,课程清单!A:Q,17,0),""),"")</f>
        <v/>
      </c>
      <c r="S106" s="11" t="str">
        <f>IFERROR(IF(VLOOKUP(U106,课程清单!A:Q,16,0)=$S$4,VLOOKUP(U106,课程清单!A:Q,17,0),""),"")</f>
        <v/>
      </c>
      <c r="T106" s="7">
        <v>5</v>
      </c>
      <c r="U106" s="2" t="s">
        <v>386</v>
      </c>
      <c r="V106" s="7">
        <f t="shared" si="71"/>
        <v>84</v>
      </c>
      <c r="W106" s="7">
        <f t="shared" si="72"/>
        <v>0</v>
      </c>
      <c r="X106" s="7">
        <f t="shared" si="73"/>
        <v>0</v>
      </c>
      <c r="Y106" s="109">
        <f t="shared" si="74"/>
        <v>1</v>
      </c>
      <c r="Z106" s="109">
        <f t="shared" si="75"/>
        <v>32</v>
      </c>
      <c r="AA106" s="109">
        <f t="shared" si="76"/>
        <v>0</v>
      </c>
      <c r="AB106" s="109">
        <f t="shared" si="77"/>
        <v>0</v>
      </c>
    </row>
    <row r="107" spans="1:28" ht="24" x14ac:dyDescent="0.3">
      <c r="A107" s="188"/>
      <c r="B107" s="188"/>
      <c r="C107" s="11">
        <f>IF(E107="","",MAX(C$5:C106)+1)</f>
        <v>85</v>
      </c>
      <c r="D107" s="23" t="str">
        <f>IFERROR(IF(VLOOKUP(U107,课程清单!A:Q,7,0)="","",VLOOKUP(U107,课程清单!A:Q,7,0)),"")</f>
        <v>593002R2</v>
      </c>
      <c r="E107" s="12" t="str">
        <f>IFERROR(VLOOKUP(U107,课程清单!A:Q,8,0)&amp;IF(VLOOKUP(U107,课程清单!A:Q,9,0)="","",CHAR(10)&amp;VLOOKUP(U107,课程清单!A:Q,9,0)),"")</f>
        <v>工科基本训练（电气控制）
Engineering Basic Training(Electrical Control)</v>
      </c>
      <c r="F107" s="11" t="str">
        <f>IFERROR(IF(VLOOKUP(U107,课程清单!A:Q,10,0)="","",VLOOKUP(U107,课程清单!A:Q,10,0)),"")</f>
        <v>必修</v>
      </c>
      <c r="G107" s="11" t="str">
        <f>IFERROR(IF(VLOOKUP(U107,课程清单!A:Q,11,0)="","",VLOOKUP(U107,课程清单!A:Q,11,0)),"")</f>
        <v>考查</v>
      </c>
      <c r="H107" s="11">
        <f>IFERROR(IF(VLOOKUP(U107,课程清单!A:Q,12,0)="","",VLOOKUP(U107,课程清单!A:Q,12,0)),"")</f>
        <v>1</v>
      </c>
      <c r="I107" s="11">
        <f>IFERROR(IF(VLOOKUP(U107,课程清单!A:Q,13,0)="","",VLOOKUP(U107,课程清单!A:Q,13,0)),"")</f>
        <v>32</v>
      </c>
      <c r="J107" s="11">
        <f>IFERROR(IF(VLOOKUP(U107,课程清单!A:Q,14,0)="","",VLOOKUP(U107,课程清单!A:Q,14,0)),"")</f>
        <v>0</v>
      </c>
      <c r="K107" s="28">
        <f>IFERROR(IF(VLOOKUP(U107,课程清单!A:Q,15,0)="","",VLOOKUP(U107,课程清单!A:Q,15,0)),"")</f>
        <v>32</v>
      </c>
      <c r="L107" s="26" t="str">
        <f>IFERROR(IF(VLOOKUP(U107,课程清单!A:Q,16,0)=$L$4,VLOOKUP(U107,课程清单!A:Q,17,0),""),"")</f>
        <v/>
      </c>
      <c r="M107" s="11" t="str">
        <f>IFERROR(IF(VLOOKUP(U107,课程清单!A:Q,16,0)=$M$4,VLOOKUP(U107,课程清单!A:Q,17,0),""),"")</f>
        <v/>
      </c>
      <c r="N107" s="11" t="str">
        <f>IFERROR(IF(VLOOKUP(U107,课程清单!A:Q,16,0)=$N$4,VLOOKUP(U107,课程清单!A:Q,17,0),""),"")</f>
        <v/>
      </c>
      <c r="O107" s="11">
        <f>IFERROR(IF(VLOOKUP(U107,课程清单!A:Q,16,0)=$O$4,VLOOKUP(U107,课程清单!A:Q,17,0),""),"")</f>
        <v>2</v>
      </c>
      <c r="P107" s="11" t="str">
        <f>IFERROR(IF(VLOOKUP(U107,课程清单!A:Q,16,0)=$P$4,VLOOKUP(U107,课程清单!A:Q,17,0),""),"")</f>
        <v/>
      </c>
      <c r="Q107" s="11" t="str">
        <f>IFERROR(IF(VLOOKUP(U107,课程清单!A:Q,16,0)=$Q$4,VLOOKUP(U107,课程清单!A:Q,17,0),""),"")</f>
        <v/>
      </c>
      <c r="R107" s="11" t="str">
        <f>IFERROR(IF(VLOOKUP(U107,课程清单!A:Q,16,0)=$R$4,VLOOKUP(U107,课程清单!A:Q,17,0),""),"")</f>
        <v/>
      </c>
      <c r="S107" s="11" t="str">
        <f>IFERROR(IF(VLOOKUP(U107,课程清单!A:Q,16,0)=$S$4,VLOOKUP(U107,课程清单!A:Q,17,0),""),"")</f>
        <v/>
      </c>
      <c r="T107" s="7">
        <v>6</v>
      </c>
      <c r="U107" s="2" t="s">
        <v>387</v>
      </c>
      <c r="V107" s="7">
        <f t="shared" si="71"/>
        <v>85</v>
      </c>
      <c r="W107" s="7">
        <f t="shared" si="72"/>
        <v>0</v>
      </c>
      <c r="X107" s="7">
        <f t="shared" si="73"/>
        <v>0</v>
      </c>
      <c r="Y107" s="109">
        <f t="shared" si="74"/>
        <v>1</v>
      </c>
      <c r="Z107" s="109">
        <f t="shared" si="75"/>
        <v>32</v>
      </c>
      <c r="AA107" s="109">
        <f t="shared" si="76"/>
        <v>0</v>
      </c>
      <c r="AB107" s="109">
        <f t="shared" si="77"/>
        <v>0</v>
      </c>
    </row>
    <row r="108" spans="1:28" ht="24" x14ac:dyDescent="0.3">
      <c r="A108" s="188"/>
      <c r="B108" s="188"/>
      <c r="C108" s="11">
        <f>IF(E108="","",MAX(C$5:C107)+1)</f>
        <v>86</v>
      </c>
      <c r="D108" s="23" t="str">
        <f>IFERROR(IF(VLOOKUP(U108,课程清单!A:Q,7,0)="","",VLOOKUP(U108,课程清单!A:Q,7,0)),"")</f>
        <v/>
      </c>
      <c r="E108" s="12" t="str">
        <f>IFERROR(VLOOKUP(U108,课程清单!A:Q,8,0)&amp;IF(VLOOKUP(U108,课程清单!A:Q,9,0)="","",CHAR(10)&amp;VLOOKUP(U108,课程清单!A:Q,9,0)),"")</f>
        <v>钣金成型技术课程设计
Course Design of Sheet Metal Forming Technology</v>
      </c>
      <c r="F108" s="11" t="str">
        <f>IFERROR(IF(VLOOKUP(U108,课程清单!A:Q,10,0)="","",VLOOKUP(U108,课程清单!A:Q,10,0)),"")</f>
        <v>必修</v>
      </c>
      <c r="G108" s="11" t="str">
        <f>IFERROR(IF(VLOOKUP(U108,课程清单!A:Q,11,0)="","",VLOOKUP(U108,课程清单!A:Q,11,0)),"")</f>
        <v>考查</v>
      </c>
      <c r="H108" s="11">
        <f>IFERROR(IF(VLOOKUP(U108,课程清单!A:Q,12,0)="","",VLOOKUP(U108,课程清单!A:Q,12,0)),"")</f>
        <v>2</v>
      </c>
      <c r="I108" s="11">
        <f>IFERROR(IF(VLOOKUP(U108,课程清单!A:Q,13,0)="","",VLOOKUP(U108,课程清单!A:Q,13,0)),"")</f>
        <v>40</v>
      </c>
      <c r="J108" s="11">
        <f>IFERROR(IF(VLOOKUP(U108,课程清单!A:Q,14,0)="","",VLOOKUP(U108,课程清单!A:Q,14,0)),"")</f>
        <v>0</v>
      </c>
      <c r="K108" s="28">
        <f>IFERROR(IF(VLOOKUP(U108,课程清单!A:Q,15,0)="","",VLOOKUP(U108,课程清单!A:Q,15,0)),"")</f>
        <v>40</v>
      </c>
      <c r="L108" s="26" t="str">
        <f>IFERROR(IF(VLOOKUP(U108,课程清单!A:Q,16,0)=$L$4,VLOOKUP(U108,课程清单!A:Q,17,0),""),"")</f>
        <v/>
      </c>
      <c r="M108" s="11" t="str">
        <f>IFERROR(IF(VLOOKUP(U108,课程清单!A:Q,16,0)=$M$4,VLOOKUP(U108,课程清单!A:Q,17,0),""),"")</f>
        <v/>
      </c>
      <c r="N108" s="11" t="str">
        <f>IFERROR(IF(VLOOKUP(U108,课程清单!A:Q,16,0)=$N$4,VLOOKUP(U108,课程清单!A:Q,17,0),""),"")</f>
        <v/>
      </c>
      <c r="O108" s="11" t="str">
        <f>IFERROR(IF(VLOOKUP(U108,课程清单!A:Q,16,0)=$O$4,VLOOKUP(U108,课程清单!A:Q,17,0),""),"")</f>
        <v/>
      </c>
      <c r="P108" s="11" t="str">
        <f>IFERROR(IF(VLOOKUP(U108,课程清单!A:Q,16,0)=$P$4,VLOOKUP(U108,课程清单!A:Q,17,0),""),"")</f>
        <v/>
      </c>
      <c r="Q108" s="11" t="str">
        <f>IFERROR(IF(VLOOKUP(U108,课程清单!A:Q,16,0)=$Q$4,VLOOKUP(U108,课程清单!A:Q,17,0),""),"")</f>
        <v/>
      </c>
      <c r="R108" s="11">
        <f>IFERROR(IF(VLOOKUP(U108,课程清单!A:Q,16,0)=$R$4,VLOOKUP(U108,课程清单!A:Q,17,0),""),"")</f>
        <v>2</v>
      </c>
      <c r="S108" s="11" t="str">
        <f>IFERROR(IF(VLOOKUP(U108,课程清单!A:Q,16,0)=$S$4,VLOOKUP(U108,课程清单!A:Q,17,0),""),"")</f>
        <v/>
      </c>
      <c r="T108" s="7">
        <v>7</v>
      </c>
      <c r="U108" s="2" t="s">
        <v>388</v>
      </c>
      <c r="V108" s="7">
        <f t="shared" si="71"/>
        <v>86</v>
      </c>
      <c r="W108" s="7">
        <f t="shared" si="72"/>
        <v>0</v>
      </c>
      <c r="X108" s="7">
        <f t="shared" si="73"/>
        <v>0</v>
      </c>
      <c r="Y108" s="109">
        <f t="shared" si="74"/>
        <v>2</v>
      </c>
      <c r="Z108" s="109">
        <f t="shared" si="75"/>
        <v>40</v>
      </c>
      <c r="AA108" s="109">
        <f t="shared" si="76"/>
        <v>0</v>
      </c>
      <c r="AB108" s="109">
        <f t="shared" si="77"/>
        <v>0</v>
      </c>
    </row>
    <row r="109" spans="1:28" ht="24" x14ac:dyDescent="0.3">
      <c r="A109" s="188"/>
      <c r="B109" s="188"/>
      <c r="C109" s="11">
        <f>IF(E109="","",MAX(C$5:C108)+1)</f>
        <v>87</v>
      </c>
      <c r="D109" s="23" t="str">
        <f>IFERROR(IF(VLOOKUP(U109,课程清单!A:Q,7,0)="","",VLOOKUP(U109,课程清单!A:Q,7,0)),"")</f>
        <v>023010Q1</v>
      </c>
      <c r="E109" s="12" t="str">
        <f>IFERROR(VLOOKUP(U109,课程清单!A:Q,8,0)&amp;IF(VLOOKUP(U109,课程清单!A:Q,9,0)="","",CHAR(10)&amp;VLOOKUP(U109,课程清单!A:Q,9,0)),"")</f>
        <v>机械设计课程设计
Coursework of Mechanical Design</v>
      </c>
      <c r="F109" s="11" t="str">
        <f>IFERROR(IF(VLOOKUP(U109,课程清单!A:Q,10,0)="","",VLOOKUP(U109,课程清单!A:Q,10,0)),"")</f>
        <v>必修</v>
      </c>
      <c r="G109" s="11" t="str">
        <f>IFERROR(IF(VLOOKUP(U109,课程清单!A:Q,11,0)="","",VLOOKUP(U109,课程清单!A:Q,11,0)),"")</f>
        <v>考查</v>
      </c>
      <c r="H109" s="11">
        <f>IFERROR(IF(VLOOKUP(U109,课程清单!A:Q,12,0)="","",VLOOKUP(U109,课程清单!A:Q,12,0)),"")</f>
        <v>2</v>
      </c>
      <c r="I109" s="11">
        <f>IFERROR(IF(VLOOKUP(U109,课程清单!A:Q,13,0)="","",VLOOKUP(U109,课程清单!A:Q,13,0)),"")</f>
        <v>40</v>
      </c>
      <c r="J109" s="11">
        <f>IFERROR(IF(VLOOKUP(U109,课程清单!A:Q,14,0)="","",VLOOKUP(U109,课程清单!A:Q,14,0)),"")</f>
        <v>0</v>
      </c>
      <c r="K109" s="28">
        <f>IFERROR(IF(VLOOKUP(U109,课程清单!A:Q,15,0)="","",VLOOKUP(U109,课程清单!A:Q,15,0)),"")</f>
        <v>40</v>
      </c>
      <c r="L109" s="26" t="str">
        <f>IFERROR(IF(VLOOKUP(U109,课程清单!A:Q,16,0)=$L$4,VLOOKUP(U109,课程清单!A:Q,17,0),""),"")</f>
        <v/>
      </c>
      <c r="M109" s="11" t="str">
        <f>IFERROR(IF(VLOOKUP(U109,课程清单!A:Q,16,0)=$M$4,VLOOKUP(U109,课程清单!A:Q,17,0),""),"")</f>
        <v/>
      </c>
      <c r="N109" s="11" t="str">
        <f>IFERROR(IF(VLOOKUP(U109,课程清单!A:Q,16,0)=$N$4,VLOOKUP(U109,课程清单!A:Q,17,0),""),"")</f>
        <v/>
      </c>
      <c r="O109" s="11" t="str">
        <f>IFERROR(IF(VLOOKUP(U109,课程清单!A:Q,16,0)=$O$4,VLOOKUP(U109,课程清单!A:Q,17,0),""),"")</f>
        <v/>
      </c>
      <c r="P109" s="11" t="str">
        <f>IFERROR(IF(VLOOKUP(U109,课程清单!A:Q,16,0)=$P$4,VLOOKUP(U109,课程清单!A:Q,17,0),""),"")</f>
        <v>+2</v>
      </c>
      <c r="Q109" s="11" t="str">
        <f>IFERROR(IF(VLOOKUP(U109,课程清单!A:Q,16,0)=$Q$4,VLOOKUP(U109,课程清单!A:Q,17,0),""),"")</f>
        <v/>
      </c>
      <c r="R109" s="11" t="str">
        <f>IFERROR(IF(VLOOKUP(U109,课程清单!A:Q,16,0)=$R$4,VLOOKUP(U109,课程清单!A:Q,17,0),""),"")</f>
        <v/>
      </c>
      <c r="S109" s="11" t="str">
        <f>IFERROR(IF(VLOOKUP(U109,课程清单!A:Q,16,0)=$S$4,VLOOKUP(U109,课程清单!A:Q,17,0),""),"")</f>
        <v/>
      </c>
      <c r="T109" s="7">
        <v>8</v>
      </c>
      <c r="U109" s="2" t="s">
        <v>389</v>
      </c>
      <c r="V109" s="7">
        <f t="shared" si="71"/>
        <v>87</v>
      </c>
      <c r="W109" s="7">
        <f t="shared" si="72"/>
        <v>0</v>
      </c>
      <c r="X109" s="7">
        <f t="shared" si="73"/>
        <v>0</v>
      </c>
      <c r="Y109" s="109">
        <f t="shared" si="74"/>
        <v>0</v>
      </c>
      <c r="Z109" s="109">
        <f t="shared" si="75"/>
        <v>0</v>
      </c>
      <c r="AA109" s="109">
        <f t="shared" si="76"/>
        <v>2</v>
      </c>
      <c r="AB109" s="109">
        <f t="shared" si="77"/>
        <v>40</v>
      </c>
    </row>
    <row r="110" spans="1:28" ht="24" x14ac:dyDescent="0.3">
      <c r="A110" s="188"/>
      <c r="B110" s="188"/>
      <c r="C110" s="11">
        <f>IF(E110="","",MAX(C$5:C109)+1)</f>
        <v>88</v>
      </c>
      <c r="D110" s="23" t="str">
        <f>IFERROR(IF(VLOOKUP(U110,课程清单!A:Q,7,0)="","",VLOOKUP(U110,课程清单!A:Q,7,0)),"")</f>
        <v/>
      </c>
      <c r="E110" s="12" t="str">
        <f>IFERROR(VLOOKUP(U110,课程清单!A:Q,8,0)&amp;IF(VLOOKUP(U110,课程清单!A:Q,9,0)="","",CHAR(10)&amp;VLOOKUP(U110,课程清单!A:Q,9,0)),"")</f>
        <v>飞机装配工艺课程设计
Training of 3D Modeling &amp; Simulation</v>
      </c>
      <c r="F110" s="11" t="str">
        <f>IFERROR(IF(VLOOKUP(U110,课程清单!A:Q,10,0)="","",VLOOKUP(U110,课程清单!A:Q,10,0)),"")</f>
        <v>必修</v>
      </c>
      <c r="G110" s="11" t="str">
        <f>IFERROR(IF(VLOOKUP(U110,课程清单!A:Q,11,0)="","",VLOOKUP(U110,课程清单!A:Q,11,0)),"")</f>
        <v>考查</v>
      </c>
      <c r="H110" s="11">
        <f>IFERROR(IF(VLOOKUP(U110,课程清单!A:Q,12,0)="","",VLOOKUP(U110,课程清单!A:Q,12,0)),"")</f>
        <v>2</v>
      </c>
      <c r="I110" s="11">
        <f>IFERROR(IF(VLOOKUP(U110,课程清单!A:Q,13,0)="","",VLOOKUP(U110,课程清单!A:Q,13,0)),"")</f>
        <v>40</v>
      </c>
      <c r="J110" s="11">
        <f>IFERROR(IF(VLOOKUP(U110,课程清单!A:Q,14,0)="","",VLOOKUP(U110,课程清单!A:Q,14,0)),"")</f>
        <v>0</v>
      </c>
      <c r="K110" s="28">
        <f>IFERROR(IF(VLOOKUP(U110,课程清单!A:Q,15,0)="","",VLOOKUP(U110,课程清单!A:Q,15,0)),"")</f>
        <v>40</v>
      </c>
      <c r="L110" s="26" t="str">
        <f>IFERROR(IF(VLOOKUP(U110,课程清单!A:Q,16,0)=$L$4,VLOOKUP(U110,课程清单!A:Q,17,0),""),"")</f>
        <v/>
      </c>
      <c r="M110" s="11" t="str">
        <f>IFERROR(IF(VLOOKUP(U110,课程清单!A:Q,16,0)=$M$4,VLOOKUP(U110,课程清单!A:Q,17,0),""),"")</f>
        <v/>
      </c>
      <c r="N110" s="11" t="str">
        <f>IFERROR(IF(VLOOKUP(U110,课程清单!A:Q,16,0)=$N$4,VLOOKUP(U110,课程清单!A:Q,17,0),""),"")</f>
        <v/>
      </c>
      <c r="O110" s="11" t="str">
        <f>IFERROR(IF(VLOOKUP(U110,课程清单!A:Q,16,0)=$O$4,VLOOKUP(U110,课程清单!A:Q,17,0),""),"")</f>
        <v/>
      </c>
      <c r="P110" s="11" t="str">
        <f>IFERROR(IF(VLOOKUP(U110,课程清单!A:Q,16,0)=$P$4,VLOOKUP(U110,课程清单!A:Q,17,0),""),"")</f>
        <v/>
      </c>
      <c r="Q110" s="11" t="str">
        <f>IFERROR(IF(VLOOKUP(U110,课程清单!A:Q,16,0)=$Q$4,VLOOKUP(U110,课程清单!A:Q,17,0),""),"")</f>
        <v/>
      </c>
      <c r="R110" s="11">
        <f>IFERROR(IF(VLOOKUP(U110,课程清单!A:Q,16,0)=$R$4,VLOOKUP(U110,课程清单!A:Q,17,0),""),"")</f>
        <v>3</v>
      </c>
      <c r="S110" s="11" t="str">
        <f>IFERROR(IF(VLOOKUP(U110,课程清单!A:Q,16,0)=$S$4,VLOOKUP(U110,课程清单!A:Q,17,0),""),"")</f>
        <v/>
      </c>
      <c r="T110" s="7">
        <v>9</v>
      </c>
      <c r="U110" s="2" t="s">
        <v>390</v>
      </c>
      <c r="V110" s="7">
        <f t="shared" si="71"/>
        <v>88</v>
      </c>
      <c r="W110" s="7">
        <f t="shared" si="72"/>
        <v>0</v>
      </c>
      <c r="X110" s="7">
        <f t="shared" si="73"/>
        <v>0</v>
      </c>
      <c r="Y110" s="109">
        <f t="shared" si="74"/>
        <v>2</v>
      </c>
      <c r="Z110" s="109">
        <f t="shared" si="75"/>
        <v>40</v>
      </c>
      <c r="AA110" s="109">
        <f t="shared" si="76"/>
        <v>0</v>
      </c>
      <c r="AB110" s="109">
        <f t="shared" si="77"/>
        <v>0</v>
      </c>
    </row>
    <row r="111" spans="1:28" ht="24" x14ac:dyDescent="0.3">
      <c r="A111" s="188"/>
      <c r="B111" s="188"/>
      <c r="C111" s="11">
        <f>IF(E111="","",MAX(C$5:C110)+1)</f>
        <v>89</v>
      </c>
      <c r="D111" s="23" t="str">
        <f>IFERROR(IF(VLOOKUP(U111,课程清单!A:Q,7,0)="","",VLOOKUP(U111,课程清单!A:Q,7,0)),"")</f>
        <v>023004R1</v>
      </c>
      <c r="E111" s="12" t="str">
        <f>IFERROR(VLOOKUP(U111,课程清单!A:Q,8,0)&amp;IF(VLOOKUP(U111,课程清单!A:Q,9,0)="","",CHAR(10)&amp;VLOOKUP(U111,课程清单!A:Q,9,0)),"")</f>
        <v>机械原理课程设计
Coursework of Mechanisms</v>
      </c>
      <c r="F111" s="11" t="str">
        <f>IFERROR(IF(VLOOKUP(U111,课程清单!A:Q,10,0)="","",VLOOKUP(U111,课程清单!A:Q,10,0)),"")</f>
        <v>必修</v>
      </c>
      <c r="G111" s="11" t="str">
        <f>IFERROR(IF(VLOOKUP(U111,课程清单!A:Q,11,0)="","",VLOOKUP(U111,课程清单!A:Q,11,0)),"")</f>
        <v>考查</v>
      </c>
      <c r="H111" s="11">
        <f>IFERROR(IF(VLOOKUP(U111,课程清单!A:Q,12,0)="","",VLOOKUP(U111,课程清单!A:Q,12,0)),"")</f>
        <v>1</v>
      </c>
      <c r="I111" s="11">
        <f>IFERROR(IF(VLOOKUP(U111,课程清单!A:Q,13,0)="","",VLOOKUP(U111,课程清单!A:Q,13,0)),"")</f>
        <v>20</v>
      </c>
      <c r="J111" s="11">
        <f>IFERROR(IF(VLOOKUP(U111,课程清单!A:Q,14,0)="","",VLOOKUP(U111,课程清单!A:Q,14,0)),"")</f>
        <v>0</v>
      </c>
      <c r="K111" s="28">
        <f>IFERROR(IF(VLOOKUP(U111,课程清单!A:Q,15,0)="","",VLOOKUP(U111,课程清单!A:Q,15,0)),"")</f>
        <v>20</v>
      </c>
      <c r="L111" s="26" t="str">
        <f>IFERROR(IF(VLOOKUP(U111,课程清单!A:Q,16,0)=$L$4,VLOOKUP(U111,课程清单!A:Q,17,0),""),"")</f>
        <v/>
      </c>
      <c r="M111" s="11" t="str">
        <f>IFERROR(IF(VLOOKUP(U111,课程清单!A:Q,16,0)=$M$4,VLOOKUP(U111,课程清单!A:Q,17,0),""),"")</f>
        <v/>
      </c>
      <c r="N111" s="11" t="str">
        <f>IFERROR(IF(VLOOKUP(U111,课程清单!A:Q,16,0)=$N$4,VLOOKUP(U111,课程清单!A:Q,17,0),""),"")</f>
        <v/>
      </c>
      <c r="O111" s="11" t="str">
        <f>IFERROR(IF(VLOOKUP(U111,课程清单!A:Q,16,0)=$O$4,VLOOKUP(U111,课程清单!A:Q,17,0),""),"")</f>
        <v>+1</v>
      </c>
      <c r="P111" s="11" t="str">
        <f>IFERROR(IF(VLOOKUP(U111,课程清单!A:Q,16,0)=$P$4,VLOOKUP(U111,课程清单!A:Q,17,0),""),"")</f>
        <v/>
      </c>
      <c r="Q111" s="11" t="str">
        <f>IFERROR(IF(VLOOKUP(U111,课程清单!A:Q,16,0)=$Q$4,VLOOKUP(U111,课程清单!A:Q,17,0),""),"")</f>
        <v/>
      </c>
      <c r="R111" s="11" t="str">
        <f>IFERROR(IF(VLOOKUP(U111,课程清单!A:Q,16,0)=$R$4,VLOOKUP(U111,课程清单!A:Q,17,0),""),"")</f>
        <v/>
      </c>
      <c r="S111" s="11" t="str">
        <f>IFERROR(IF(VLOOKUP(U111,课程清单!A:Q,16,0)=$S$4,VLOOKUP(U111,课程清单!A:Q,17,0),""),"")</f>
        <v/>
      </c>
      <c r="T111" s="7">
        <v>10</v>
      </c>
      <c r="U111" s="2" t="s">
        <v>391</v>
      </c>
      <c r="V111" s="7">
        <f t="shared" si="71"/>
        <v>89</v>
      </c>
      <c r="W111" s="7">
        <f t="shared" si="72"/>
        <v>0</v>
      </c>
      <c r="X111" s="7">
        <f t="shared" si="73"/>
        <v>0</v>
      </c>
      <c r="Y111" s="109">
        <f t="shared" si="74"/>
        <v>0</v>
      </c>
      <c r="Z111" s="109">
        <f t="shared" si="75"/>
        <v>0</v>
      </c>
      <c r="AA111" s="109">
        <f t="shared" si="76"/>
        <v>1</v>
      </c>
      <c r="AB111" s="109">
        <f t="shared" si="77"/>
        <v>20</v>
      </c>
    </row>
    <row r="112" spans="1:28" ht="36" x14ac:dyDescent="0.3">
      <c r="A112" s="188"/>
      <c r="B112" s="188"/>
      <c r="C112" s="11">
        <f>IF(E112="","",MAX(C$5:C111)+1)</f>
        <v>90</v>
      </c>
      <c r="D112" s="23" t="str">
        <f>IFERROR(IF(VLOOKUP(U112,课程清单!A:Q,7,0)="","",VLOOKUP(U112,课程清单!A:Q,7,0)),"")</f>
        <v/>
      </c>
      <c r="E112" s="12" t="str">
        <f>IFERROR(VLOOKUP(U112,课程清单!A:Q,8,0)&amp;IF(VLOOKUP(U112,课程清单!A:Q,9,0)="","",CHAR(10)&amp;VLOOKUP(U112,课程清单!A:Q,9,0)),"")</f>
        <v>复合材料成型综合实验
Comprehensive Experiment on Composite Material Forming</v>
      </c>
      <c r="F112" s="11" t="str">
        <f>IFERROR(IF(VLOOKUP(U112,课程清单!A:Q,10,0)="","",VLOOKUP(U112,课程清单!A:Q,10,0)),"")</f>
        <v>必修</v>
      </c>
      <c r="G112" s="11" t="str">
        <f>IFERROR(IF(VLOOKUP(U112,课程清单!A:Q,11,0)="","",VLOOKUP(U112,课程清单!A:Q,11,0)),"")</f>
        <v>考查</v>
      </c>
      <c r="H112" s="11">
        <f>IFERROR(IF(VLOOKUP(U112,课程清单!A:Q,12,0)="","",VLOOKUP(U112,课程清单!A:Q,12,0)),"")</f>
        <v>1</v>
      </c>
      <c r="I112" s="11">
        <f>IFERROR(IF(VLOOKUP(U112,课程清单!A:Q,13,0)="","",VLOOKUP(U112,课程清单!A:Q,13,0)),"")</f>
        <v>20</v>
      </c>
      <c r="J112" s="11">
        <f>IFERROR(IF(VLOOKUP(U112,课程清单!A:Q,14,0)="","",VLOOKUP(U112,课程清单!A:Q,14,0)),"")</f>
        <v>0</v>
      </c>
      <c r="K112" s="28">
        <f>IFERROR(IF(VLOOKUP(U112,课程清单!A:Q,15,0)="","",VLOOKUP(U112,课程清单!A:Q,15,0)),"")</f>
        <v>20</v>
      </c>
      <c r="L112" s="26" t="str">
        <f>IFERROR(IF(VLOOKUP(U112,课程清单!A:Q,16,0)=$L$4,VLOOKUP(U112,课程清单!A:Q,17,0),""),"")</f>
        <v/>
      </c>
      <c r="M112" s="11" t="str">
        <f>IFERROR(IF(VLOOKUP(U112,课程清单!A:Q,16,0)=$M$4,VLOOKUP(U112,课程清单!A:Q,17,0),""),"")</f>
        <v/>
      </c>
      <c r="N112" s="11" t="str">
        <f>IFERROR(IF(VLOOKUP(U112,课程清单!A:Q,16,0)=$N$4,VLOOKUP(U112,课程清单!A:Q,17,0),""),"")</f>
        <v/>
      </c>
      <c r="O112" s="11" t="str">
        <f>IFERROR(IF(VLOOKUP(U112,课程清单!A:Q,16,0)=$O$4,VLOOKUP(U112,课程清单!A:Q,17,0),""),"")</f>
        <v/>
      </c>
      <c r="P112" s="11" t="str">
        <f>IFERROR(IF(VLOOKUP(U112,课程清单!A:Q,16,0)=$P$4,VLOOKUP(U112,课程清单!A:Q,17,0),""),"")</f>
        <v/>
      </c>
      <c r="Q112" s="11">
        <f>IFERROR(IF(VLOOKUP(U112,课程清单!A:Q,16,0)=$Q$4,VLOOKUP(U112,课程清单!A:Q,17,0),""),"")</f>
        <v>1</v>
      </c>
      <c r="R112" s="11" t="str">
        <f>IFERROR(IF(VLOOKUP(U112,课程清单!A:Q,16,0)=$R$4,VLOOKUP(U112,课程清单!A:Q,17,0),""),"")</f>
        <v/>
      </c>
      <c r="S112" s="11" t="str">
        <f>IFERROR(IF(VLOOKUP(U112,课程清单!A:Q,16,0)=$S$4,VLOOKUP(U112,课程清单!A:Q,17,0),""),"")</f>
        <v/>
      </c>
      <c r="T112" s="7">
        <v>11</v>
      </c>
      <c r="U112" s="2" t="s">
        <v>392</v>
      </c>
      <c r="V112" s="7">
        <f t="shared" si="71"/>
        <v>90</v>
      </c>
      <c r="W112" s="7">
        <f t="shared" si="72"/>
        <v>0</v>
      </c>
      <c r="X112" s="7">
        <f t="shared" si="73"/>
        <v>0</v>
      </c>
      <c r="Y112" s="109">
        <f t="shared" si="74"/>
        <v>1</v>
      </c>
      <c r="Z112" s="109">
        <f t="shared" si="75"/>
        <v>20</v>
      </c>
      <c r="AA112" s="109">
        <f t="shared" si="76"/>
        <v>0</v>
      </c>
      <c r="AB112" s="109">
        <f t="shared" si="77"/>
        <v>0</v>
      </c>
    </row>
    <row r="113" spans="1:28" ht="24" x14ac:dyDescent="0.3">
      <c r="A113" s="188"/>
      <c r="B113" s="188"/>
      <c r="C113" s="11">
        <f>IF(E113="","",MAX(C$5:C112)+1)</f>
        <v>91</v>
      </c>
      <c r="D113" s="23" t="str">
        <f>IFERROR(IF(VLOOKUP(U113,课程清单!A:Q,7,0)="","",VLOOKUP(U113,课程清单!A:Q,7,0)),"")</f>
        <v>023094P1</v>
      </c>
      <c r="E113" s="12" t="str">
        <f>IFERROR(VLOOKUP(U113,课程清单!A:Q,8,0)&amp;IF(VLOOKUP(U113,课程清单!A:Q,9,0)="","",CHAR(10)&amp;VLOOKUP(U113,课程清单!A:Q,9,0)),"")</f>
        <v>机械制造项目综合实践
Comprehensive Training of Mechanical Manufacture</v>
      </c>
      <c r="F113" s="11" t="str">
        <f>IFERROR(IF(VLOOKUP(U113,课程清单!A:Q,10,0)="","",VLOOKUP(U113,课程清单!A:Q,10,0)),"")</f>
        <v>必修</v>
      </c>
      <c r="G113" s="11" t="str">
        <f>IFERROR(IF(VLOOKUP(U113,课程清单!A:Q,11,0)="","",VLOOKUP(U113,课程清单!A:Q,11,0)),"")</f>
        <v>考查</v>
      </c>
      <c r="H113" s="11">
        <f>IFERROR(IF(VLOOKUP(U113,课程清单!A:Q,12,0)="","",VLOOKUP(U113,课程清单!A:Q,12,0)),"")</f>
        <v>3</v>
      </c>
      <c r="I113" s="11">
        <f>IFERROR(IF(VLOOKUP(U113,课程清单!A:Q,13,0)="","",VLOOKUP(U113,课程清单!A:Q,13,0)),"")</f>
        <v>60</v>
      </c>
      <c r="J113" s="11">
        <f>IFERROR(IF(VLOOKUP(U113,课程清单!A:Q,14,0)="","",VLOOKUP(U113,课程清单!A:Q,14,0)),"")</f>
        <v>0</v>
      </c>
      <c r="K113" s="28">
        <f>IFERROR(IF(VLOOKUP(U113,课程清单!A:Q,15,0)="","",VLOOKUP(U113,课程清单!A:Q,15,0)),"")</f>
        <v>60</v>
      </c>
      <c r="L113" s="26" t="str">
        <f>IFERROR(IF(VLOOKUP(U113,课程清单!A:Q,16,0)=$L$4,VLOOKUP(U113,课程清单!A:Q,17,0),""),"")</f>
        <v/>
      </c>
      <c r="M113" s="11" t="str">
        <f>IFERROR(IF(VLOOKUP(U113,课程清单!A:Q,16,0)=$M$4,VLOOKUP(U113,课程清单!A:Q,17,0),""),"")</f>
        <v/>
      </c>
      <c r="N113" s="11" t="str">
        <f>IFERROR(IF(VLOOKUP(U113,课程清单!A:Q,16,0)=$N$4,VLOOKUP(U113,课程清单!A:Q,17,0),""),"")</f>
        <v/>
      </c>
      <c r="O113" s="11" t="str">
        <f>IFERROR(IF(VLOOKUP(U113,课程清单!A:Q,16,0)=$O$4,VLOOKUP(U113,课程清单!A:Q,17,0),""),"")</f>
        <v>+3</v>
      </c>
      <c r="P113" s="11" t="str">
        <f>IFERROR(IF(VLOOKUP(U113,课程清单!A:Q,16,0)=$P$4,VLOOKUP(U113,课程清单!A:Q,17,0),""),"")</f>
        <v/>
      </c>
      <c r="Q113" s="11" t="str">
        <f>IFERROR(IF(VLOOKUP(U113,课程清单!A:Q,16,0)=$Q$4,VLOOKUP(U113,课程清单!A:Q,17,0),""),"")</f>
        <v/>
      </c>
      <c r="R113" s="11" t="str">
        <f>IFERROR(IF(VLOOKUP(U113,课程清单!A:Q,16,0)=$R$4,VLOOKUP(U113,课程清单!A:Q,17,0),""),"")</f>
        <v/>
      </c>
      <c r="S113" s="11" t="str">
        <f>IFERROR(IF(VLOOKUP(U113,课程清单!A:Q,16,0)=$S$4,VLOOKUP(U113,课程清单!A:Q,17,0),""),"")</f>
        <v/>
      </c>
      <c r="T113" s="7">
        <v>12</v>
      </c>
      <c r="U113" s="2" t="s">
        <v>393</v>
      </c>
      <c r="V113" s="7">
        <f t="shared" si="71"/>
        <v>91</v>
      </c>
      <c r="W113" s="7">
        <f t="shared" si="72"/>
        <v>0</v>
      </c>
      <c r="X113" s="7">
        <f t="shared" si="73"/>
        <v>0</v>
      </c>
      <c r="Y113" s="109">
        <f t="shared" si="74"/>
        <v>0</v>
      </c>
      <c r="Z113" s="109">
        <f t="shared" si="75"/>
        <v>0</v>
      </c>
      <c r="AA113" s="109">
        <f t="shared" si="76"/>
        <v>3</v>
      </c>
      <c r="AB113" s="109">
        <f t="shared" si="77"/>
        <v>60</v>
      </c>
    </row>
    <row r="114" spans="1:28" ht="24" x14ac:dyDescent="0.3">
      <c r="A114" s="188"/>
      <c r="B114" s="188"/>
      <c r="C114" s="11">
        <f>IF(E114="","",MAX(C$5:C113)+1)</f>
        <v>92</v>
      </c>
      <c r="D114" s="23" t="str">
        <f>IFERROR(IF(VLOOKUP(U114,课程清单!A:Q,7,0)="","",VLOOKUP(U114,课程清单!A:Q,7,0)),"")</f>
        <v>023067P1</v>
      </c>
      <c r="E114" s="12" t="str">
        <f>IFERROR(VLOOKUP(U114,课程清单!A:Q,8,0)&amp;IF(VLOOKUP(U114,课程清单!A:Q,9,0)="","",CHAR(10)&amp;VLOOKUP(U114,课程清单!A:Q,9,0)),"")</f>
        <v>生产实习
Production Practice</v>
      </c>
      <c r="F114" s="11" t="str">
        <f>IFERROR(IF(VLOOKUP(U114,课程清单!A:Q,10,0)="","",VLOOKUP(U114,课程清单!A:Q,10,0)),"")</f>
        <v>必修</v>
      </c>
      <c r="G114" s="11" t="str">
        <f>IFERROR(IF(VLOOKUP(U114,课程清单!A:Q,11,0)="","",VLOOKUP(U114,课程清单!A:Q,11,0)),"")</f>
        <v>考查</v>
      </c>
      <c r="H114" s="11">
        <f>IFERROR(IF(VLOOKUP(U114,课程清单!A:Q,12,0)="","",VLOOKUP(U114,课程清单!A:Q,12,0)),"")</f>
        <v>3</v>
      </c>
      <c r="I114" s="11">
        <f>IFERROR(IF(VLOOKUP(U114,课程清单!A:Q,13,0)="","",VLOOKUP(U114,课程清单!A:Q,13,0)),"")</f>
        <v>60</v>
      </c>
      <c r="J114" s="11">
        <f>IFERROR(IF(VLOOKUP(U114,课程清单!A:Q,14,0)="","",VLOOKUP(U114,课程清单!A:Q,14,0)),"")</f>
        <v>0</v>
      </c>
      <c r="K114" s="28">
        <f>IFERROR(IF(VLOOKUP(U114,课程清单!A:Q,15,0)="","",VLOOKUP(U114,课程清单!A:Q,15,0)),"")</f>
        <v>60</v>
      </c>
      <c r="L114" s="26" t="str">
        <f>IFERROR(IF(VLOOKUP(U114,课程清单!A:Q,16,0)=$L$4,VLOOKUP(U114,课程清单!A:Q,17,0),""),"")</f>
        <v/>
      </c>
      <c r="M114" s="11" t="str">
        <f>IFERROR(IF(VLOOKUP(U114,课程清单!A:Q,16,0)=$M$4,VLOOKUP(U114,课程清单!A:Q,17,0),""),"")</f>
        <v/>
      </c>
      <c r="N114" s="11" t="str">
        <f>IFERROR(IF(VLOOKUP(U114,课程清单!A:Q,16,0)=$N$4,VLOOKUP(U114,课程清单!A:Q,17,0),""),"")</f>
        <v/>
      </c>
      <c r="O114" s="11" t="str">
        <f>IFERROR(IF(VLOOKUP(U114,课程清单!A:Q,16,0)=$O$4,VLOOKUP(U114,课程清单!A:Q,17,0),""),"")</f>
        <v/>
      </c>
      <c r="P114" s="11" t="str">
        <f>IFERROR(IF(VLOOKUP(U114,课程清单!A:Q,16,0)=$P$4,VLOOKUP(U114,课程清单!A:Q,17,0),""),"")</f>
        <v/>
      </c>
      <c r="Q114" s="11" t="str">
        <f>IFERROR(IF(VLOOKUP(U114,课程清单!A:Q,16,0)=$Q$4,VLOOKUP(U114,课程清单!A:Q,17,0),""),"")</f>
        <v/>
      </c>
      <c r="R114" s="11" t="str">
        <f>IFERROR(IF(VLOOKUP(U114,课程清单!A:Q,16,0)=$R$4,VLOOKUP(U114,课程清单!A:Q,17,0),""),"")</f>
        <v>+3</v>
      </c>
      <c r="S114" s="11" t="str">
        <f>IFERROR(IF(VLOOKUP(U114,课程清单!A:Q,16,0)=$S$4,VLOOKUP(U114,课程清单!A:Q,17,0),""),"")</f>
        <v/>
      </c>
      <c r="T114" s="7">
        <v>13</v>
      </c>
      <c r="U114" s="2" t="s">
        <v>394</v>
      </c>
      <c r="V114" s="7">
        <f t="shared" si="71"/>
        <v>92</v>
      </c>
      <c r="W114" s="7">
        <f t="shared" si="72"/>
        <v>0</v>
      </c>
      <c r="X114" s="7">
        <f t="shared" si="73"/>
        <v>0</v>
      </c>
      <c r="Y114" s="109">
        <f t="shared" si="74"/>
        <v>0</v>
      </c>
      <c r="Z114" s="109">
        <f t="shared" si="75"/>
        <v>0</v>
      </c>
      <c r="AA114" s="109">
        <f t="shared" si="76"/>
        <v>3</v>
      </c>
      <c r="AB114" s="109">
        <f t="shared" si="77"/>
        <v>60</v>
      </c>
    </row>
    <row r="115" spans="1:28" ht="24" x14ac:dyDescent="0.3">
      <c r="A115" s="188"/>
      <c r="B115" s="188"/>
      <c r="C115" s="11">
        <f>IF(E115="","",MAX(C$5:C114)+1)</f>
        <v>93</v>
      </c>
      <c r="D115" s="23" t="str">
        <f>IFERROR(IF(VLOOKUP(U115,课程清单!A:Q,7,0)="","",VLOOKUP(U115,课程清单!A:Q,7,0)),"")</f>
        <v>023065P3</v>
      </c>
      <c r="E115" s="12" t="str">
        <f>IFERROR(VLOOKUP(U115,课程清单!A:Q,8,0)&amp;IF(VLOOKUP(U115,课程清单!A:Q,9,0)="","",CHAR(10)&amp;VLOOKUP(U115,课程清单!A:Q,9,0)),"")</f>
        <v>毕业设计
Graduation Design</v>
      </c>
      <c r="F115" s="11" t="str">
        <f>IFERROR(IF(VLOOKUP(U115,课程清单!A:Q,10,0)="","",VLOOKUP(U115,课程清单!A:Q,10,0)),"")</f>
        <v>必修</v>
      </c>
      <c r="G115" s="11" t="str">
        <f>IFERROR(IF(VLOOKUP(U115,课程清单!A:Q,11,0)="","",VLOOKUP(U115,课程清单!A:Q,11,0)),"")</f>
        <v>考查</v>
      </c>
      <c r="H115" s="11">
        <f>IFERROR(IF(VLOOKUP(U115,课程清单!A:Q,12,0)="","",VLOOKUP(U115,课程清单!A:Q,12,0)),"")</f>
        <v>10</v>
      </c>
      <c r="I115" s="11">
        <f>IFERROR(IF(VLOOKUP(U115,课程清单!A:Q,13,0)="","",VLOOKUP(U115,课程清单!A:Q,13,0)),"")</f>
        <v>300</v>
      </c>
      <c r="J115" s="11">
        <f>IFERROR(IF(VLOOKUP(U115,课程清单!A:Q,14,0)="","",VLOOKUP(U115,课程清单!A:Q,14,0)),"")</f>
        <v>0</v>
      </c>
      <c r="K115" s="28">
        <f>IFERROR(IF(VLOOKUP(U115,课程清单!A:Q,15,0)="","",VLOOKUP(U115,课程清单!A:Q,15,0)),"")</f>
        <v>300</v>
      </c>
      <c r="L115" s="26" t="str">
        <f>IFERROR(IF(VLOOKUP(U115,课程清单!A:Q,16,0)=$L$4,VLOOKUP(U115,课程清单!A:Q,17,0),""),"")</f>
        <v/>
      </c>
      <c r="M115" s="11" t="str">
        <f>IFERROR(IF(VLOOKUP(U115,课程清单!A:Q,16,0)=$M$4,VLOOKUP(U115,课程清单!A:Q,17,0),""),"")</f>
        <v/>
      </c>
      <c r="N115" s="11" t="str">
        <f>IFERROR(IF(VLOOKUP(U115,课程清单!A:Q,16,0)=$N$4,VLOOKUP(U115,课程清单!A:Q,17,0),""),"")</f>
        <v/>
      </c>
      <c r="O115" s="11" t="str">
        <f>IFERROR(IF(VLOOKUP(U115,课程清单!A:Q,16,0)=$O$4,VLOOKUP(U115,课程清单!A:Q,17,0),""),"")</f>
        <v/>
      </c>
      <c r="P115" s="11" t="str">
        <f>IFERROR(IF(VLOOKUP(U115,课程清单!A:Q,16,0)=$P$4,VLOOKUP(U115,课程清单!A:Q,17,0),""),"")</f>
        <v/>
      </c>
      <c r="Q115" s="11" t="str">
        <f>IFERROR(IF(VLOOKUP(U115,课程清单!A:Q,16,0)=$Q$4,VLOOKUP(U115,课程清单!A:Q,17,0),""),"")</f>
        <v/>
      </c>
      <c r="R115" s="11" t="str">
        <f>IFERROR(IF(VLOOKUP(U115,课程清单!A:Q,16,0)=$R$4,VLOOKUP(U115,课程清单!A:Q,17,0),""),"")</f>
        <v/>
      </c>
      <c r="S115" s="11" t="str">
        <f>IFERROR(IF(VLOOKUP(U115,课程清单!A:Q,16,0)=$S$4,VLOOKUP(U115,课程清单!A:Q,17,0),""),"")</f>
        <v>+15</v>
      </c>
      <c r="T115" s="7">
        <v>14</v>
      </c>
      <c r="U115" s="2" t="s">
        <v>395</v>
      </c>
      <c r="V115" s="7">
        <f t="shared" si="71"/>
        <v>93</v>
      </c>
      <c r="W115" s="7">
        <f t="shared" si="72"/>
        <v>0</v>
      </c>
      <c r="X115" s="7">
        <f t="shared" si="73"/>
        <v>0</v>
      </c>
      <c r="Y115" s="109">
        <f t="shared" si="74"/>
        <v>0</v>
      </c>
      <c r="Z115" s="109">
        <f t="shared" si="75"/>
        <v>0</v>
      </c>
      <c r="AA115" s="109">
        <f t="shared" si="76"/>
        <v>10</v>
      </c>
      <c r="AB115" s="109">
        <f t="shared" si="77"/>
        <v>300</v>
      </c>
    </row>
    <row r="116" spans="1:28" ht="28" customHeight="1" x14ac:dyDescent="0.3">
      <c r="A116" s="188"/>
      <c r="B116" s="188"/>
      <c r="C116" s="11">
        <v>95</v>
      </c>
      <c r="D116" s="23"/>
      <c r="E116" s="12" t="s">
        <v>462</v>
      </c>
      <c r="F116" s="11" t="s">
        <v>47</v>
      </c>
      <c r="G116" s="11" t="s">
        <v>51</v>
      </c>
      <c r="H116" s="11">
        <v>2</v>
      </c>
      <c r="I116" s="11">
        <v>40</v>
      </c>
      <c r="J116" s="11">
        <v>0</v>
      </c>
      <c r="K116" s="28">
        <v>40</v>
      </c>
      <c r="L116" s="26" t="s">
        <v>457</v>
      </c>
      <c r="M116" s="11" t="s">
        <v>457</v>
      </c>
      <c r="N116" s="11" t="s">
        <v>457</v>
      </c>
      <c r="O116" s="11" t="s">
        <v>457</v>
      </c>
      <c r="P116" s="11" t="s">
        <v>457</v>
      </c>
      <c r="Q116" s="11" t="s">
        <v>275</v>
      </c>
      <c r="R116" s="11" t="s">
        <v>457</v>
      </c>
      <c r="S116" s="11" t="s">
        <v>457</v>
      </c>
      <c r="Y116" s="109"/>
      <c r="Z116" s="109"/>
      <c r="AA116" s="109"/>
      <c r="AB116" s="109"/>
    </row>
    <row r="117" spans="1:28" ht="35.5" customHeight="1" x14ac:dyDescent="0.3">
      <c r="A117" s="188"/>
      <c r="B117" s="188"/>
      <c r="C117" s="11">
        <v>96</v>
      </c>
      <c r="D117" s="23" t="s">
        <v>452</v>
      </c>
      <c r="E117" s="12" t="s">
        <v>456</v>
      </c>
      <c r="F117" s="11" t="s">
        <v>47</v>
      </c>
      <c r="G117" s="11" t="s">
        <v>51</v>
      </c>
      <c r="H117" s="11">
        <v>1</v>
      </c>
      <c r="I117" s="11">
        <v>32</v>
      </c>
      <c r="J117" s="11">
        <v>0</v>
      </c>
      <c r="K117" s="28">
        <v>32</v>
      </c>
      <c r="L117" s="26" t="s">
        <v>457</v>
      </c>
      <c r="M117" s="11" t="s">
        <v>457</v>
      </c>
      <c r="N117" s="11" t="s">
        <v>457</v>
      </c>
      <c r="O117" s="11">
        <v>2</v>
      </c>
      <c r="P117" s="11" t="s">
        <v>457</v>
      </c>
      <c r="Q117" s="11" t="s">
        <v>457</v>
      </c>
      <c r="R117" s="11" t="s">
        <v>457</v>
      </c>
      <c r="S117" s="11" t="s">
        <v>457</v>
      </c>
      <c r="T117" s="101" t="str">
        <f>IFERROR(IF(VLOOKUP(V117,[2]课程清单!B:R,16,0)=$S$4,VLOOKUP(V117,[2]课程清单!B:R,17,0),""),"")</f>
        <v/>
      </c>
      <c r="Y117" s="109"/>
      <c r="Z117" s="109"/>
      <c r="AA117" s="109"/>
      <c r="AB117" s="109"/>
    </row>
    <row r="118" spans="1:28" ht="24" customHeight="1" x14ac:dyDescent="0.3">
      <c r="A118" s="188"/>
      <c r="B118" s="188"/>
      <c r="C118" s="175" t="s">
        <v>396</v>
      </c>
      <c r="D118" s="202"/>
      <c r="E118" s="202"/>
      <c r="F118" s="202"/>
      <c r="G118" s="202"/>
      <c r="H118" s="107">
        <f>SUM(H102:H117)</f>
        <v>34</v>
      </c>
      <c r="I118" s="18">
        <f>SUM(I102:I115)</f>
        <v>768</v>
      </c>
      <c r="J118" s="18">
        <f>SUM(J102:J115)</f>
        <v>0</v>
      </c>
      <c r="K118" s="21">
        <f>SUM(K102:K115)</f>
        <v>768</v>
      </c>
      <c r="L118" s="32">
        <f>SUMIFS(L102:L115,F102:F115,"必修" )</f>
        <v>0</v>
      </c>
      <c r="M118" s="18">
        <f>SUMIFS(M102:M115,F102:F115,"必修" )</f>
        <v>1</v>
      </c>
      <c r="N118" s="18">
        <f>SUMIFS(N102:N115,F102:F115,"必修" )</f>
        <v>4</v>
      </c>
      <c r="O118" s="18">
        <f>SUMIFS(O102:O115,F102:F115,"必修" )</f>
        <v>2</v>
      </c>
      <c r="P118" s="18">
        <f>SUMIFS(P102:P115,F102:F115,"必修" )</f>
        <v>0</v>
      </c>
      <c r="Q118" s="18">
        <f>SUMIFS(Q102:Q115,F102:F115,"必修" )</f>
        <v>3</v>
      </c>
      <c r="R118" s="18">
        <f>SUMIFS(R102:R115,F102:F115,"必修" )</f>
        <v>5</v>
      </c>
      <c r="S118" s="18">
        <f>SUMIFS(S102:S115,F102:F115,"必修" )</f>
        <v>0</v>
      </c>
      <c r="Y118" s="109"/>
      <c r="Z118" s="109"/>
      <c r="AA118" s="109"/>
      <c r="AB118" s="109"/>
    </row>
    <row r="119" spans="1:28" ht="24" customHeight="1" x14ac:dyDescent="0.3">
      <c r="A119" s="188"/>
      <c r="B119" s="175" t="s">
        <v>397</v>
      </c>
      <c r="C119" s="202"/>
      <c r="D119" s="202"/>
      <c r="E119" s="202"/>
      <c r="F119" s="202"/>
      <c r="G119" s="202"/>
      <c r="H119" s="18">
        <f>数据定义!A25</f>
        <v>5</v>
      </c>
      <c r="I119" s="18">
        <f>数据定义!B25</f>
        <v>80</v>
      </c>
      <c r="J119" s="18">
        <f>数据定义!C25</f>
        <v>63.125</v>
      </c>
      <c r="K119" s="21">
        <f>数据定义!D25</f>
        <v>16.875</v>
      </c>
      <c r="L119" s="26"/>
      <c r="M119" s="11"/>
      <c r="N119" s="11"/>
      <c r="O119" s="11"/>
      <c r="P119" s="11"/>
      <c r="Q119" s="11"/>
      <c r="R119" s="11"/>
      <c r="S119" s="11"/>
      <c r="W119" s="7">
        <f>H119*J119/I119</f>
        <v>3.9453125</v>
      </c>
      <c r="X119" s="7">
        <f>J119</f>
        <v>63.125</v>
      </c>
      <c r="Y119" s="109">
        <f>H119*K119/I119</f>
        <v>1.0546875</v>
      </c>
      <c r="Z119" s="109">
        <f>K119</f>
        <v>16.875</v>
      </c>
      <c r="AA119" s="109"/>
      <c r="AB119" s="109"/>
    </row>
    <row r="120" spans="1:28" ht="24" customHeight="1" x14ac:dyDescent="0.3">
      <c r="A120" s="188"/>
      <c r="B120" s="200" t="s">
        <v>398</v>
      </c>
      <c r="C120" s="201"/>
      <c r="D120" s="201"/>
      <c r="E120" s="201"/>
      <c r="F120" s="201"/>
      <c r="G120" s="201"/>
      <c r="H120" s="31">
        <f t="shared" ref="H120:S120" si="78">SUM(H82,H93,H101,H74,H118,H119 )</f>
        <v>116</v>
      </c>
      <c r="I120" s="31">
        <f t="shared" si="78"/>
        <v>2112</v>
      </c>
      <c r="J120" s="31">
        <f t="shared" si="78"/>
        <v>1167.125</v>
      </c>
      <c r="K120" s="33">
        <f t="shared" si="78"/>
        <v>944.875</v>
      </c>
      <c r="L120" s="34">
        <f t="shared" si="78"/>
        <v>9</v>
      </c>
      <c r="M120" s="31">
        <f t="shared" si="78"/>
        <v>18</v>
      </c>
      <c r="N120" s="31">
        <f t="shared" si="78"/>
        <v>16.5</v>
      </c>
      <c r="O120" s="31">
        <f t="shared" si="78"/>
        <v>15.5</v>
      </c>
      <c r="P120" s="31">
        <f t="shared" si="78"/>
        <v>19</v>
      </c>
      <c r="Q120" s="31">
        <f t="shared" si="78"/>
        <v>12</v>
      </c>
      <c r="R120" s="31">
        <f t="shared" si="78"/>
        <v>5</v>
      </c>
      <c r="S120" s="31">
        <f t="shared" si="78"/>
        <v>0</v>
      </c>
      <c r="Y120" s="109"/>
      <c r="Z120" s="109"/>
      <c r="AA120" s="109"/>
      <c r="AB120" s="109"/>
    </row>
    <row r="121" spans="1:28" ht="24" customHeight="1" x14ac:dyDescent="0.3">
      <c r="A121" s="200" t="s">
        <v>399</v>
      </c>
      <c r="B121" s="201"/>
      <c r="C121" s="201"/>
      <c r="D121" s="201"/>
      <c r="E121" s="201"/>
      <c r="F121" s="201"/>
      <c r="G121" s="201"/>
      <c r="H121" s="31">
        <f t="shared" ref="H121:S121" si="79">SUM(H54,H120)</f>
        <v>170</v>
      </c>
      <c r="I121" s="31">
        <f t="shared" si="79"/>
        <v>3120</v>
      </c>
      <c r="J121" s="31">
        <f t="shared" si="79"/>
        <v>1967.125</v>
      </c>
      <c r="K121" s="33">
        <f t="shared" si="79"/>
        <v>1152.875</v>
      </c>
      <c r="L121" s="34">
        <f t="shared" si="79"/>
        <v>27</v>
      </c>
      <c r="M121" s="31">
        <f t="shared" si="79"/>
        <v>29</v>
      </c>
      <c r="N121" s="31">
        <f t="shared" si="79"/>
        <v>25.5</v>
      </c>
      <c r="O121" s="31">
        <f t="shared" si="79"/>
        <v>23.5</v>
      </c>
      <c r="P121" s="31">
        <f t="shared" si="79"/>
        <v>21</v>
      </c>
      <c r="Q121" s="31">
        <f t="shared" si="79"/>
        <v>16</v>
      </c>
      <c r="R121" s="31">
        <f t="shared" si="79"/>
        <v>7</v>
      </c>
      <c r="S121" s="31">
        <f t="shared" si="79"/>
        <v>2</v>
      </c>
      <c r="W121" s="7">
        <f t="shared" ref="W121:AB121" si="80">SUM(W5:W120)</f>
        <v>118.9453125</v>
      </c>
      <c r="X121" s="7">
        <f t="shared" si="80"/>
        <v>1967.125</v>
      </c>
      <c r="Y121" s="109">
        <f t="shared" si="80"/>
        <v>23.0546875</v>
      </c>
      <c r="Z121" s="109">
        <f t="shared" si="80"/>
        <v>552.875</v>
      </c>
      <c r="AA121" s="109">
        <f t="shared" si="80"/>
        <v>25</v>
      </c>
      <c r="AB121" s="109">
        <f t="shared" si="80"/>
        <v>600</v>
      </c>
    </row>
  </sheetData>
  <mergeCells count="58">
    <mergeCell ref="A83:A93"/>
    <mergeCell ref="A94:A101"/>
    <mergeCell ref="A102:A120"/>
    <mergeCell ref="A121:G121"/>
    <mergeCell ref="C74:E74"/>
    <mergeCell ref="B55:B74"/>
    <mergeCell ref="A55:A74"/>
    <mergeCell ref="C82:G82"/>
    <mergeCell ref="B75:B82"/>
    <mergeCell ref="A75:A82"/>
    <mergeCell ref="C118:G118"/>
    <mergeCell ref="B119:G119"/>
    <mergeCell ref="B120:G120"/>
    <mergeCell ref="B102:B118"/>
    <mergeCell ref="A2:S2"/>
    <mergeCell ref="L3:S3"/>
    <mergeCell ref="C20:E20"/>
    <mergeCell ref="C26:E26"/>
    <mergeCell ref="C33:E33"/>
    <mergeCell ref="C3:C4"/>
    <mergeCell ref="D3:D4"/>
    <mergeCell ref="D27:D30"/>
    <mergeCell ref="E3:E4"/>
    <mergeCell ref="F3:F4"/>
    <mergeCell ref="G3:G4"/>
    <mergeCell ref="H3:H4"/>
    <mergeCell ref="I3:I4"/>
    <mergeCell ref="J3:J4"/>
    <mergeCell ref="K3:K4"/>
    <mergeCell ref="A3:A4"/>
    <mergeCell ref="C53:E53"/>
    <mergeCell ref="B54:E54"/>
    <mergeCell ref="D50:D52"/>
    <mergeCell ref="C93:G93"/>
    <mergeCell ref="C101:G101"/>
    <mergeCell ref="B83:B93"/>
    <mergeCell ref="B94:B101"/>
    <mergeCell ref="B50:B53"/>
    <mergeCell ref="A5:A54"/>
    <mergeCell ref="B3:B4"/>
    <mergeCell ref="B5:B20"/>
    <mergeCell ref="B21:B26"/>
    <mergeCell ref="B27:B33"/>
    <mergeCell ref="B34:B35"/>
    <mergeCell ref="T3:T4"/>
    <mergeCell ref="U3:U4"/>
    <mergeCell ref="V3:V4"/>
    <mergeCell ref="B44:B47"/>
    <mergeCell ref="B48:B49"/>
    <mergeCell ref="B36:B38"/>
    <mergeCell ref="B39:B41"/>
    <mergeCell ref="B42:B43"/>
    <mergeCell ref="C49:E49"/>
    <mergeCell ref="C35:E35"/>
    <mergeCell ref="C38:E38"/>
    <mergeCell ref="C41:E41"/>
    <mergeCell ref="C43:E43"/>
    <mergeCell ref="C47:E47"/>
  </mergeCells>
  <phoneticPr fontId="30" type="noConversion"/>
  <conditionalFormatting sqref="E1:S1 E3:S4">
    <cfRule type="expression" dxfId="16" priority="101">
      <formula>($D1=" ")</formula>
    </cfRule>
  </conditionalFormatting>
  <conditionalFormatting sqref="E55:S73 F74:S74 E75:S81 H82:S82 E83:S92 H93:S93 E94:S100 H101:S101 H118:S121 E122:S1048576">
    <cfRule type="expression" dxfId="15" priority="40">
      <formula>($D55=" ")</formula>
    </cfRule>
  </conditionalFormatting>
  <conditionalFormatting sqref="E102:S117">
    <cfRule type="expression" dxfId="14" priority="1">
      <formula>($D102=" ")</formula>
    </cfRule>
  </conditionalFormatting>
  <conditionalFormatting sqref="F20:G20 F26:G26">
    <cfRule type="expression" dxfId="13" priority="103">
      <formula>($C20=" ")</formula>
    </cfRule>
  </conditionalFormatting>
  <conditionalFormatting sqref="F27:G52">
    <cfRule type="expression" dxfId="12" priority="34">
      <formula>($D27=" ")</formula>
    </cfRule>
  </conditionalFormatting>
  <conditionalFormatting sqref="H33:J33">
    <cfRule type="cellIs" dxfId="11" priority="27" operator="equal">
      <formula>0</formula>
    </cfRule>
    <cfRule type="expression" dxfId="10" priority="28">
      <formula>($D33=" ")</formula>
    </cfRule>
  </conditionalFormatting>
  <conditionalFormatting sqref="H17:K32">
    <cfRule type="cellIs" dxfId="9" priority="22" operator="equal">
      <formula>0</formula>
    </cfRule>
  </conditionalFormatting>
  <conditionalFormatting sqref="H34:K52">
    <cfRule type="cellIs" dxfId="8" priority="19" operator="equal">
      <formula>0</formula>
    </cfRule>
    <cfRule type="expression" dxfId="7" priority="20">
      <formula>($D34=" ")</formula>
    </cfRule>
  </conditionalFormatting>
  <conditionalFormatting sqref="J1:K1">
    <cfRule type="cellIs" dxfId="6" priority="100" operator="equal">
      <formula>0</formula>
    </cfRule>
  </conditionalFormatting>
  <conditionalFormatting sqref="J3:K4 K5:K16">
    <cfRule type="cellIs" dxfId="5" priority="96" operator="equal">
      <formula>0</formula>
    </cfRule>
  </conditionalFormatting>
  <conditionalFormatting sqref="J53:K1048576">
    <cfRule type="cellIs" dxfId="4" priority="2" operator="equal">
      <formula>0</formula>
    </cfRule>
  </conditionalFormatting>
  <conditionalFormatting sqref="K5:K16 F5:G19 F21:G25 F53:K53 F54:S54">
    <cfRule type="expression" dxfId="3" priority="98">
      <formula>($D5=" ")</formula>
    </cfRule>
  </conditionalFormatting>
  <conditionalFormatting sqref="K33">
    <cfRule type="cellIs" dxfId="2" priority="21" operator="equal">
      <formula>0</formula>
    </cfRule>
  </conditionalFormatting>
  <conditionalFormatting sqref="L5:S53">
    <cfRule type="cellIs" dxfId="1" priority="36" operator="equal">
      <formula>0</formula>
    </cfRule>
  </conditionalFormatting>
  <conditionalFormatting sqref="T117">
    <cfRule type="expression" dxfId="0" priority="7">
      <formula>($D117=" ")</formula>
    </cfRule>
  </conditionalFormatting>
  <printOptions horizontalCentered="1"/>
  <pageMargins left="0.7" right="0.7" top="0.75" bottom="0.75" header="0.3" footer="0.3"/>
  <pageSetup paperSize="9" scale="83" orientation="portrait" r:id="rId1"/>
  <ignoredErrors>
    <ignoredError sqref="W37:AB37" formulaRange="1"/>
    <ignoredError sqref="H20 I20:K20 H26:K26 H33:K33 H35:K35 H38:K38 H41:K41 H43:K43 H47:K47 H49:K49 L54:M54 N54:S54"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P1"/>
  <sheetViews>
    <sheetView view="pageBreakPreview" zoomScale="81" zoomScaleNormal="100" zoomScaleSheetLayoutView="81" workbookViewId="0">
      <selection activeCell="T24" sqref="T24"/>
    </sheetView>
  </sheetViews>
  <sheetFormatPr defaultColWidth="9" defaultRowHeight="14" x14ac:dyDescent="0.3"/>
  <cols>
    <col min="15" max="15" width="8.83203125" customWidth="1"/>
    <col min="16" max="16" width="9" hidden="1" customWidth="1"/>
    <col min="17" max="17" width="9" customWidth="1"/>
  </cols>
  <sheetData/>
  <phoneticPr fontId="30" type="noConversion"/>
  <pageMargins left="0.23622047244094488" right="0.23622047244094488" top="0" bottom="0" header="0.31496062992125984" footer="0.31496062992125984"/>
  <pageSetup paperSize="9" orientation="landscape" r:id="rId1"/>
  <drawing r:id="rId2"/>
  <legacyDrawing r:id="rId3"/>
  <oleObjects>
    <mc:AlternateContent xmlns:mc="http://schemas.openxmlformats.org/markup-compatibility/2006">
      <mc:Choice Requires="x14">
        <oleObject progId="Visio.Drawing.15" shapeId="12291" r:id="rId4">
          <objectPr defaultSize="0" altText="" r:id="rId5">
            <anchor moveWithCells="1">
              <from>
                <xdr:col>0</xdr:col>
                <xdr:colOff>120650</xdr:colOff>
                <xdr:row>0</xdr:row>
                <xdr:rowOff>101600</xdr:rowOff>
              </from>
              <to>
                <xdr:col>14</xdr:col>
                <xdr:colOff>609600</xdr:colOff>
                <xdr:row>41</xdr:row>
                <xdr:rowOff>50800</xdr:rowOff>
              </to>
            </anchor>
          </objectPr>
        </oleObject>
      </mc:Choice>
      <mc:Fallback>
        <oleObject progId="Visio.Drawing.15" shapeId="12291"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I9"/>
  <sheetViews>
    <sheetView zoomScale="115" zoomScaleNormal="115" zoomScaleSheetLayoutView="85" workbookViewId="0">
      <selection activeCell="I5" sqref="I5"/>
    </sheetView>
  </sheetViews>
  <sheetFormatPr defaultColWidth="9" defaultRowHeight="14" x14ac:dyDescent="0.3"/>
  <cols>
    <col min="1" max="1" width="9.5" customWidth="1"/>
    <col min="2" max="2" width="19" customWidth="1"/>
    <col min="3" max="3" width="5.5" customWidth="1"/>
    <col min="4" max="5" width="5.08203125" customWidth="1"/>
    <col min="6" max="6" width="7.5" customWidth="1"/>
    <col min="7" max="7" width="9" customWidth="1"/>
    <col min="8" max="8" width="9.08203125" customWidth="1"/>
    <col min="9" max="9" width="20.4140625" customWidth="1"/>
  </cols>
  <sheetData>
    <row r="1" spans="1:9" ht="33.75" customHeight="1" x14ac:dyDescent="0.3">
      <c r="A1" s="203" t="s">
        <v>400</v>
      </c>
      <c r="B1" s="203"/>
      <c r="C1" s="203"/>
      <c r="D1" s="203"/>
      <c r="E1" s="203"/>
      <c r="F1" s="203"/>
      <c r="G1" s="203"/>
      <c r="H1" s="203"/>
      <c r="I1" s="203"/>
    </row>
    <row r="2" spans="1:9" ht="23.25" customHeight="1" x14ac:dyDescent="0.3">
      <c r="A2" s="204" t="s">
        <v>401</v>
      </c>
      <c r="B2" s="204" t="s">
        <v>322</v>
      </c>
      <c r="C2" s="204" t="s">
        <v>44</v>
      </c>
      <c r="D2" s="204" t="s">
        <v>45</v>
      </c>
      <c r="E2" s="204" t="s">
        <v>18</v>
      </c>
      <c r="F2" s="204" t="s">
        <v>19</v>
      </c>
      <c r="G2" s="204"/>
      <c r="H2" s="204"/>
      <c r="I2" s="204" t="s">
        <v>402</v>
      </c>
    </row>
    <row r="3" spans="1:9" ht="29.25" customHeight="1" x14ac:dyDescent="0.3">
      <c r="A3" s="204"/>
      <c r="B3" s="204"/>
      <c r="C3" s="204"/>
      <c r="D3" s="204"/>
      <c r="E3" s="204"/>
      <c r="F3" s="3" t="s">
        <v>36</v>
      </c>
      <c r="G3" s="3" t="s">
        <v>403</v>
      </c>
      <c r="H3" s="3" t="s">
        <v>404</v>
      </c>
      <c r="I3" s="204"/>
    </row>
    <row r="4" spans="1:9" ht="20.25" customHeight="1" x14ac:dyDescent="0.3">
      <c r="A4" s="4"/>
      <c r="B4" s="5" t="s">
        <v>199</v>
      </c>
      <c r="C4" s="5" t="s">
        <v>47</v>
      </c>
      <c r="D4" s="5" t="s">
        <v>51</v>
      </c>
      <c r="E4" s="4">
        <v>1</v>
      </c>
      <c r="F4" s="4">
        <v>16</v>
      </c>
      <c r="G4" s="4">
        <v>10</v>
      </c>
      <c r="H4" s="4">
        <v>6</v>
      </c>
      <c r="I4" s="5" t="s">
        <v>405</v>
      </c>
    </row>
    <row r="5" spans="1:9" ht="27" customHeight="1" x14ac:dyDescent="0.3">
      <c r="A5" s="4"/>
      <c r="B5" s="5" t="s">
        <v>292</v>
      </c>
      <c r="C5" s="5" t="s">
        <v>47</v>
      </c>
      <c r="D5" s="5" t="s">
        <v>48</v>
      </c>
      <c r="E5" s="4">
        <v>1.5</v>
      </c>
      <c r="F5" s="4">
        <v>24</v>
      </c>
      <c r="G5" s="4">
        <v>16</v>
      </c>
      <c r="H5" s="4">
        <v>8</v>
      </c>
      <c r="I5" s="5" t="s">
        <v>406</v>
      </c>
    </row>
    <row r="6" spans="1:9" ht="20.25" customHeight="1" x14ac:dyDescent="0.3">
      <c r="A6" s="99" t="s">
        <v>407</v>
      </c>
      <c r="B6" s="5" t="s">
        <v>225</v>
      </c>
      <c r="C6" s="5" t="s">
        <v>47</v>
      </c>
      <c r="D6" s="5" t="s">
        <v>51</v>
      </c>
      <c r="E6" s="4">
        <v>1.5</v>
      </c>
      <c r="F6" s="4">
        <v>24</v>
      </c>
      <c r="G6" s="4">
        <v>16</v>
      </c>
      <c r="H6" s="4">
        <v>8</v>
      </c>
      <c r="I6" s="5" t="s">
        <v>408</v>
      </c>
    </row>
    <row r="7" spans="1:9" ht="25.75" customHeight="1" x14ac:dyDescent="0.3">
      <c r="A7" s="4" t="s">
        <v>276</v>
      </c>
      <c r="B7" s="5" t="s">
        <v>277</v>
      </c>
      <c r="C7" s="5" t="s">
        <v>47</v>
      </c>
      <c r="D7" s="5" t="s">
        <v>51</v>
      </c>
      <c r="E7" s="4">
        <v>3</v>
      </c>
      <c r="F7" s="4">
        <v>60</v>
      </c>
      <c r="G7" s="4">
        <v>40</v>
      </c>
      <c r="H7" s="4">
        <v>20</v>
      </c>
      <c r="I7" s="5" t="s">
        <v>409</v>
      </c>
    </row>
    <row r="8" spans="1:9" ht="30" customHeight="1" x14ac:dyDescent="0.3">
      <c r="A8" s="4"/>
      <c r="B8" s="5" t="s">
        <v>274</v>
      </c>
      <c r="C8" s="5" t="s">
        <v>47</v>
      </c>
      <c r="D8" s="5" t="s">
        <v>51</v>
      </c>
      <c r="E8" s="4">
        <v>3</v>
      </c>
      <c r="F8" s="4">
        <v>60</v>
      </c>
      <c r="G8" s="4">
        <v>40</v>
      </c>
      <c r="H8" s="4">
        <v>20</v>
      </c>
      <c r="I8" s="5" t="s">
        <v>406</v>
      </c>
    </row>
    <row r="9" spans="1:9" ht="27" customHeight="1" x14ac:dyDescent="0.3">
      <c r="A9" s="204" t="s">
        <v>23</v>
      </c>
      <c r="B9" s="204"/>
      <c r="C9" s="204"/>
      <c r="D9" s="204"/>
      <c r="E9" s="4">
        <v>10</v>
      </c>
      <c r="F9" s="4">
        <v>184</v>
      </c>
      <c r="G9" s="4">
        <v>122</v>
      </c>
      <c r="H9" s="4">
        <v>62</v>
      </c>
      <c r="I9" s="4"/>
    </row>
  </sheetData>
  <mergeCells count="9">
    <mergeCell ref="A1:I1"/>
    <mergeCell ref="F2:H2"/>
    <mergeCell ref="A9:D9"/>
    <mergeCell ref="A2:A3"/>
    <mergeCell ref="B2:B3"/>
    <mergeCell ref="C2:C3"/>
    <mergeCell ref="D2:D3"/>
    <mergeCell ref="E2:E3"/>
    <mergeCell ref="I2:I3"/>
  </mergeCells>
  <phoneticPr fontId="3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22</vt:i4>
      </vt:variant>
    </vt:vector>
  </HeadingPairs>
  <TitlesOfParts>
    <vt:vector size="30" baseType="lpstr">
      <vt:lpstr>中文描述</vt:lpstr>
      <vt:lpstr>数据定义</vt:lpstr>
      <vt:lpstr>参数</vt:lpstr>
      <vt:lpstr>课程清单</vt:lpstr>
      <vt:lpstr>课程学分学时分布表（附件1）</vt:lpstr>
      <vt:lpstr>课程设置与教学进程表（附件2）</vt:lpstr>
      <vt:lpstr>课程地图(附件3)</vt:lpstr>
      <vt:lpstr>校企共建产教融合型专业能力课程（附件4）</vt:lpstr>
      <vt:lpstr>'课程地图(附件3)'!Print_Area</vt:lpstr>
      <vt:lpstr>车辆测试与分析</vt:lpstr>
      <vt:lpstr>飞行器设计</vt:lpstr>
      <vt:lpstr>飞行器制造</vt:lpstr>
      <vt:lpstr>机电控制与管理</vt:lpstr>
      <vt:lpstr>机械产品设计</vt:lpstr>
      <vt:lpstr>机械制造</vt:lpstr>
      <vt:lpstr>汽车零部件设计与制造</vt:lpstr>
      <vt:lpstr>软件系统分析与设计</vt:lpstr>
      <vt:lpstr>软件质量保证与测试</vt:lpstr>
      <vt:lpstr>通识教育课程平台</vt:lpstr>
      <vt:lpstr>新能源汽车动力系统设计</vt:lpstr>
      <vt:lpstr>应用软件系统开发</vt:lpstr>
      <vt:lpstr>制造自动化与管理</vt:lpstr>
      <vt:lpstr>专业大类课程模块</vt:lpstr>
      <vt:lpstr>专业能力课程平台</vt:lpstr>
      <vt:lpstr>专业能力模块1</vt:lpstr>
      <vt:lpstr>专业能力模块2</vt:lpstr>
      <vt:lpstr>专业能力模块3</vt:lpstr>
      <vt:lpstr>自定义专业能力模块1</vt:lpstr>
      <vt:lpstr>自定义专业能力模块2</vt:lpstr>
      <vt:lpstr>自定义专业能力模块3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上海电机学院</dc:title>
  <dc:subject>2022人才培养方案修订</dc:subject>
  <dc:creator>nowthen</dc:creator>
  <cp:lastModifiedBy>SunQun</cp:lastModifiedBy>
  <cp:lastPrinted>2023-11-07T18:26:06Z</cp:lastPrinted>
  <dcterms:created xsi:type="dcterms:W3CDTF">2015-06-05T18:19:00Z</dcterms:created>
  <dcterms:modified xsi:type="dcterms:W3CDTF">2024-03-26T04:43:23Z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0D02404667964E75B5B56EBDE0761961</vt:lpwstr>
  </property>
  <property fmtid="{D5CDD505-2E9C-101B-9397-08002B2CF9AE}" pid="3" name="KSOProductBuildVer">
    <vt:lpwstr>2052-11.1.0.11875</vt:lpwstr>
  </property>
</Properties>
</file>